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0" windowWidth="19740" windowHeight="7725"/>
  </bookViews>
  <sheets>
    <sheet name="Template" sheetId="16" r:id="rId1"/>
    <sheet name="ID XYZ" sheetId="17" r:id="rId2"/>
    <sheet name="ID XYZ Sections" sheetId="12" r:id="rId3"/>
  </sheets>
  <calcPr calcId="144525"/>
</workbook>
</file>

<file path=xl/calcChain.xml><?xml version="1.0" encoding="utf-8"?>
<calcChain xmlns="http://schemas.openxmlformats.org/spreadsheetml/2006/main">
  <c r="I216" i="17" l="1"/>
  <c r="I212" i="17"/>
  <c r="I208" i="17"/>
  <c r="I160" i="17"/>
  <c r="I156" i="17"/>
  <c r="I152" i="17"/>
  <c r="I103" i="17"/>
  <c r="I99" i="17"/>
  <c r="I95" i="17"/>
  <c r="L13" i="17"/>
  <c r="J13" i="17"/>
  <c r="J18" i="17" s="1"/>
  <c r="H13" i="17"/>
  <c r="I216" i="16"/>
  <c r="I212" i="16"/>
  <c r="I208" i="16"/>
  <c r="I160" i="16"/>
  <c r="I156" i="16"/>
  <c r="I152" i="16"/>
  <c r="I103" i="16"/>
  <c r="I99" i="16"/>
  <c r="I95" i="16"/>
  <c r="L13" i="16"/>
  <c r="L18" i="16" s="1"/>
  <c r="J13" i="16"/>
  <c r="H13" i="16"/>
  <c r="H14" i="16" s="1"/>
  <c r="H40" i="16" s="1"/>
  <c r="L18" i="17" l="1"/>
  <c r="J14" i="17"/>
  <c r="J40" i="17" s="1"/>
  <c r="J43" i="17" s="1"/>
  <c r="H14" i="17"/>
  <c r="H40" i="17" s="1"/>
  <c r="H43" i="17" s="1"/>
  <c r="L14" i="17"/>
  <c r="H18" i="17"/>
  <c r="L14" i="16"/>
  <c r="L40" i="16" s="1"/>
  <c r="H18" i="16"/>
  <c r="H43" i="16"/>
  <c r="J14" i="16"/>
  <c r="J18" i="16"/>
  <c r="J15" i="16"/>
  <c r="H15" i="16"/>
  <c r="J15" i="17" l="1"/>
  <c r="H15" i="17"/>
  <c r="L15" i="17"/>
  <c r="L42" i="17" s="1"/>
  <c r="L40" i="17"/>
  <c r="L15" i="16"/>
  <c r="J54" i="16"/>
  <c r="J48" i="16"/>
  <c r="J52" i="16"/>
  <c r="J53" i="16"/>
  <c r="J47" i="16"/>
  <c r="J41" i="16"/>
  <c r="L52" i="16"/>
  <c r="L53" i="16"/>
  <c r="L47" i="16"/>
  <c r="L41" i="16"/>
  <c r="L69" i="16"/>
  <c r="L54" i="16"/>
  <c r="L48" i="16"/>
  <c r="L46" i="16"/>
  <c r="L67" i="16" s="1"/>
  <c r="L76" i="16" s="1"/>
  <c r="H205" i="16" s="1"/>
  <c r="H53" i="16"/>
  <c r="H47" i="16"/>
  <c r="H41" i="16"/>
  <c r="H54" i="16"/>
  <c r="H52" i="16"/>
  <c r="H71" i="16" s="1"/>
  <c r="H89" i="16" s="1"/>
  <c r="I89" i="16" s="1"/>
  <c r="H46" i="16"/>
  <c r="H69" i="16" s="1"/>
  <c r="H48" i="16"/>
  <c r="J42" i="16"/>
  <c r="J40" i="16"/>
  <c r="J46" i="16" s="1"/>
  <c r="L43" i="16"/>
  <c r="H42" i="16"/>
  <c r="H78" i="16" s="1"/>
  <c r="H90" i="16" s="1"/>
  <c r="I90" i="16" s="1"/>
  <c r="L42" i="16"/>
  <c r="J54" i="17" l="1"/>
  <c r="J48" i="17"/>
  <c r="J53" i="17"/>
  <c r="J52" i="17"/>
  <c r="J47" i="17"/>
  <c r="J46" i="17"/>
  <c r="J41" i="17"/>
  <c r="J42" i="17"/>
  <c r="J78" i="17" s="1"/>
  <c r="H147" i="17" s="1"/>
  <c r="I147" i="17" s="1"/>
  <c r="H46" i="17"/>
  <c r="H53" i="17"/>
  <c r="H54" i="17"/>
  <c r="H69" i="17"/>
  <c r="H48" i="17"/>
  <c r="H47" i="17"/>
  <c r="H41" i="17"/>
  <c r="H74" i="17" s="1"/>
  <c r="H93" i="17" s="1"/>
  <c r="I93" i="17" s="1"/>
  <c r="H52" i="17"/>
  <c r="H42" i="17"/>
  <c r="L43" i="17"/>
  <c r="L53" i="17"/>
  <c r="L47" i="17"/>
  <c r="L41" i="17"/>
  <c r="L69" i="17"/>
  <c r="L54" i="17"/>
  <c r="L48" i="17"/>
  <c r="L46" i="17"/>
  <c r="L52" i="17"/>
  <c r="L67" i="17" s="1"/>
  <c r="L76" i="17" s="1"/>
  <c r="H205" i="17" s="1"/>
  <c r="L71" i="16"/>
  <c r="H202" i="16" s="1"/>
  <c r="I202" i="16" s="1"/>
  <c r="L74" i="16"/>
  <c r="H206" i="16" s="1"/>
  <c r="I206" i="16" s="1"/>
  <c r="L78" i="16"/>
  <c r="H203" i="16" s="1"/>
  <c r="I203" i="16" s="1"/>
  <c r="J68" i="16"/>
  <c r="H158" i="16" s="1"/>
  <c r="I158" i="16" s="1"/>
  <c r="J49" i="16"/>
  <c r="J69" i="16"/>
  <c r="H88" i="16"/>
  <c r="I88" i="16" s="1"/>
  <c r="H70" i="16"/>
  <c r="H100" i="16" s="1"/>
  <c r="I100" i="16" s="1"/>
  <c r="L70" i="16"/>
  <c r="H213" i="16" s="1"/>
  <c r="I213" i="16" s="1"/>
  <c r="H201" i="16"/>
  <c r="I201" i="16" s="1"/>
  <c r="L55" i="16"/>
  <c r="L75" i="16"/>
  <c r="H207" i="16" s="1"/>
  <c r="I207" i="16" s="1"/>
  <c r="H75" i="16"/>
  <c r="H94" i="16" s="1"/>
  <c r="I94" i="16" s="1"/>
  <c r="H55" i="16"/>
  <c r="L77" i="16"/>
  <c r="H204" i="16" s="1"/>
  <c r="I204" i="16" s="1"/>
  <c r="J71" i="16"/>
  <c r="H146" i="16" s="1"/>
  <c r="I146" i="16" s="1"/>
  <c r="J67" i="16"/>
  <c r="J76" i="16" s="1"/>
  <c r="H149" i="16" s="1"/>
  <c r="J78" i="16"/>
  <c r="H147" i="16" s="1"/>
  <c r="I147" i="16" s="1"/>
  <c r="J74" i="16"/>
  <c r="H150" i="16" s="1"/>
  <c r="I150" i="16" s="1"/>
  <c r="J43" i="16"/>
  <c r="I205" i="16"/>
  <c r="H68" i="16"/>
  <c r="H101" i="16" s="1"/>
  <c r="I101" i="16" s="1"/>
  <c r="H49" i="16"/>
  <c r="H74" i="16"/>
  <c r="H93" i="16" s="1"/>
  <c r="I93" i="16" s="1"/>
  <c r="L49" i="16"/>
  <c r="L68" i="16"/>
  <c r="H214" i="16" s="1"/>
  <c r="I214" i="16" s="1"/>
  <c r="J75" i="16"/>
  <c r="H151" i="16" s="1"/>
  <c r="I151" i="16" s="1"/>
  <c r="J55" i="16"/>
  <c r="H67" i="16"/>
  <c r="H76" i="16" s="1"/>
  <c r="H92" i="16" s="1"/>
  <c r="L74" i="17" l="1"/>
  <c r="H206" i="17" s="1"/>
  <c r="I206" i="17" s="1"/>
  <c r="J55" i="17"/>
  <c r="J75" i="17"/>
  <c r="H151" i="17" s="1"/>
  <c r="I151" i="17" s="1"/>
  <c r="J74" i="17"/>
  <c r="H150" i="17" s="1"/>
  <c r="I150" i="17" s="1"/>
  <c r="J67" i="17"/>
  <c r="J76" i="17" s="1"/>
  <c r="H149" i="17" s="1"/>
  <c r="J69" i="17"/>
  <c r="J68" i="17"/>
  <c r="H158" i="17" s="1"/>
  <c r="I158" i="17" s="1"/>
  <c r="J49" i="17"/>
  <c r="J77" i="17" s="1"/>
  <c r="H148" i="17" s="1"/>
  <c r="I148" i="17" s="1"/>
  <c r="J71" i="17"/>
  <c r="H146" i="17" s="1"/>
  <c r="I146" i="17" s="1"/>
  <c r="H78" i="17"/>
  <c r="H90" i="17" s="1"/>
  <c r="I90" i="17" s="1"/>
  <c r="H75" i="17"/>
  <c r="H94" i="17" s="1"/>
  <c r="I94" i="17" s="1"/>
  <c r="H55" i="17"/>
  <c r="H70" i="17"/>
  <c r="H100" i="17" s="1"/>
  <c r="I100" i="17" s="1"/>
  <c r="H88" i="17"/>
  <c r="I88" i="17" s="1"/>
  <c r="H49" i="17"/>
  <c r="H77" i="17" s="1"/>
  <c r="H91" i="17" s="1"/>
  <c r="I91" i="17" s="1"/>
  <c r="H68" i="17"/>
  <c r="H101" i="17" s="1"/>
  <c r="I101" i="17" s="1"/>
  <c r="H71" i="17"/>
  <c r="H89" i="17" s="1"/>
  <c r="I89" i="17" s="1"/>
  <c r="H67" i="17"/>
  <c r="H76" i="17" s="1"/>
  <c r="H92" i="17" s="1"/>
  <c r="L75" i="17"/>
  <c r="H207" i="17" s="1"/>
  <c r="I207" i="17" s="1"/>
  <c r="L55" i="17"/>
  <c r="L70" i="17"/>
  <c r="H213" i="17" s="1"/>
  <c r="I213" i="17" s="1"/>
  <c r="H201" i="17"/>
  <c r="I201" i="17" s="1"/>
  <c r="L68" i="17"/>
  <c r="H214" i="17" s="1"/>
  <c r="I214" i="17" s="1"/>
  <c r="L49" i="17"/>
  <c r="L77" i="17" s="1"/>
  <c r="H204" i="17" s="1"/>
  <c r="I204" i="17" s="1"/>
  <c r="L71" i="17"/>
  <c r="H202" i="17" s="1"/>
  <c r="I202" i="17" s="1"/>
  <c r="L78" i="17"/>
  <c r="H203" i="17" s="1"/>
  <c r="I203" i="17" s="1"/>
  <c r="H232" i="17"/>
  <c r="I205" i="17"/>
  <c r="H232" i="16"/>
  <c r="H119" i="16"/>
  <c r="I92" i="16"/>
  <c r="I218" i="16"/>
  <c r="H176" i="16"/>
  <c r="I149" i="16"/>
  <c r="J70" i="16"/>
  <c r="H157" i="16" s="1"/>
  <c r="I157" i="16" s="1"/>
  <c r="H145" i="16"/>
  <c r="I145" i="16" s="1"/>
  <c r="H77" i="16"/>
  <c r="H91" i="16" s="1"/>
  <c r="I91" i="16" s="1"/>
  <c r="I105" i="16" s="1"/>
  <c r="J77" i="16"/>
  <c r="H148" i="16" s="1"/>
  <c r="I148" i="16" s="1"/>
  <c r="S39" i="12"/>
  <c r="S38" i="12"/>
  <c r="S31" i="12"/>
  <c r="S30" i="12"/>
  <c r="S23" i="12"/>
  <c r="S16" i="12"/>
  <c r="H176" i="17" l="1"/>
  <c r="I149" i="17"/>
  <c r="H145" i="17"/>
  <c r="I145" i="17" s="1"/>
  <c r="J70" i="17"/>
  <c r="H157" i="17" s="1"/>
  <c r="I157" i="17" s="1"/>
  <c r="H119" i="17"/>
  <c r="I92" i="17"/>
  <c r="I105" i="17" s="1"/>
  <c r="I218" i="17"/>
  <c r="I162" i="16"/>
  <c r="G222" i="16"/>
  <c r="I222" i="16" s="1"/>
  <c r="G224" i="16"/>
  <c r="I224" i="16" s="1"/>
  <c r="G220" i="16"/>
  <c r="I220" i="16" s="1"/>
  <c r="G109" i="16"/>
  <c r="I109" i="16" s="1"/>
  <c r="G111" i="16"/>
  <c r="I111" i="16" s="1"/>
  <c r="G107" i="16"/>
  <c r="I107" i="16" s="1"/>
  <c r="I162" i="17" l="1"/>
  <c r="G109" i="17"/>
  <c r="I109" i="17" s="1"/>
  <c r="G111" i="17"/>
  <c r="I111" i="17" s="1"/>
  <c r="G107" i="17"/>
  <c r="I107" i="17" s="1"/>
  <c r="I113" i="17" s="1"/>
  <c r="G115" i="17" s="1"/>
  <c r="I115" i="17" s="1"/>
  <c r="I117" i="17" s="1"/>
  <c r="G222" i="17"/>
  <c r="I222" i="17" s="1"/>
  <c r="I226" i="17" s="1"/>
  <c r="G224" i="17"/>
  <c r="I224" i="17" s="1"/>
  <c r="G220" i="17"/>
  <c r="I220" i="17" s="1"/>
  <c r="I226" i="16"/>
  <c r="G228" i="16" s="1"/>
  <c r="I228" i="16" s="1"/>
  <c r="I113" i="16"/>
  <c r="G115" i="16"/>
  <c r="I115" i="16" s="1"/>
  <c r="I117" i="16" s="1"/>
  <c r="G168" i="16"/>
  <c r="I168" i="16" s="1"/>
  <c r="G164" i="16"/>
  <c r="I164" i="16" s="1"/>
  <c r="G166" i="16"/>
  <c r="I166" i="16" s="1"/>
  <c r="G164" i="17" l="1"/>
  <c r="I164" i="17" s="1"/>
  <c r="G166" i="17"/>
  <c r="I166" i="17" s="1"/>
  <c r="G168" i="17"/>
  <c r="I168" i="17" s="1"/>
  <c r="G121" i="17"/>
  <c r="I121" i="17" s="1"/>
  <c r="I124" i="17" s="1"/>
  <c r="H19" i="17" s="1"/>
  <c r="H20" i="17" s="1"/>
  <c r="G119" i="17"/>
  <c r="I119" i="17" s="1"/>
  <c r="G228" i="17"/>
  <c r="I228" i="17" s="1"/>
  <c r="I230" i="17" s="1"/>
  <c r="I230" i="16"/>
  <c r="G232" i="16" s="1"/>
  <c r="I232" i="16" s="1"/>
  <c r="I170" i="16"/>
  <c r="G172" i="16"/>
  <c r="I172" i="16" s="1"/>
  <c r="I174" i="16" s="1"/>
  <c r="G119" i="16"/>
  <c r="I119" i="16" s="1"/>
  <c r="G121" i="16"/>
  <c r="I121" i="16" s="1"/>
  <c r="I170" i="17" l="1"/>
  <c r="G234" i="17"/>
  <c r="I234" i="17" s="1"/>
  <c r="G232" i="17"/>
  <c r="I232" i="17" s="1"/>
  <c r="I237" i="17" s="1"/>
  <c r="L19" i="17" s="1"/>
  <c r="L20" i="17" s="1"/>
  <c r="G234" i="16"/>
  <c r="I234" i="16" s="1"/>
  <c r="I237" i="16" s="1"/>
  <c r="L19" i="16" s="1"/>
  <c r="L20" i="16" s="1"/>
  <c r="I124" i="16"/>
  <c r="H19" i="16" s="1"/>
  <c r="H20" i="16" s="1"/>
  <c r="G178" i="16"/>
  <c r="I178" i="16" s="1"/>
  <c r="G176" i="16"/>
  <c r="I176" i="16" s="1"/>
  <c r="I181" i="16" s="1"/>
  <c r="J19" i="16" s="1"/>
  <c r="J20" i="16" s="1"/>
  <c r="G172" i="17" l="1"/>
  <c r="I172" i="17" s="1"/>
  <c r="I174" i="17"/>
  <c r="L22" i="16"/>
  <c r="H22" i="16"/>
  <c r="J22" i="16"/>
  <c r="G176" i="17" l="1"/>
  <c r="I176" i="17" s="1"/>
  <c r="I181" i="17" s="1"/>
  <c r="J19" i="17" s="1"/>
  <c r="J20" i="17" s="1"/>
  <c r="G178" i="17"/>
  <c r="I178" i="17" s="1"/>
  <c r="H22" i="17" l="1"/>
  <c r="J22" i="17"/>
  <c r="L22" i="17"/>
</calcChain>
</file>

<file path=xl/sharedStrings.xml><?xml version="1.0" encoding="utf-8"?>
<sst xmlns="http://schemas.openxmlformats.org/spreadsheetml/2006/main" count="891" uniqueCount="106">
  <si>
    <t xml:space="preserve">                   HYDROLOGY : COST ESTIMATIONS FOR NEW MEASURING STRUCTURES</t>
  </si>
  <si>
    <t>No.</t>
  </si>
  <si>
    <t>Item no.</t>
  </si>
  <si>
    <t>Description</t>
  </si>
  <si>
    <t>Unit</t>
  </si>
  <si>
    <t>Rate</t>
  </si>
  <si>
    <t>Quantity</t>
  </si>
  <si>
    <t>Amount</t>
  </si>
  <si>
    <t>Weir construction</t>
  </si>
  <si>
    <t xml:space="preserve"> </t>
  </si>
  <si>
    <t>Excavations</t>
  </si>
  <si>
    <t>m ³</t>
  </si>
  <si>
    <t>Foundation preparation</t>
  </si>
  <si>
    <t>m ²</t>
  </si>
  <si>
    <t>Shuttering</t>
  </si>
  <si>
    <t>Reinforcing</t>
  </si>
  <si>
    <t>ton</t>
  </si>
  <si>
    <t>Concrete - blinding</t>
  </si>
  <si>
    <t>Concrete - mass</t>
  </si>
  <si>
    <t>Concrete - reinforced</t>
  </si>
  <si>
    <t>Concrete - rollcrete</t>
  </si>
  <si>
    <t>Fill material</t>
  </si>
  <si>
    <t>Soil cement</t>
  </si>
  <si>
    <t>Selected material</t>
  </si>
  <si>
    <t>Rockfill/Gabions</t>
  </si>
  <si>
    <t>Service roads</t>
  </si>
  <si>
    <t>m</t>
  </si>
  <si>
    <t xml:space="preserve">SUB TOTAL </t>
  </si>
  <si>
    <t>Dewatering (% of 1 to 3)</t>
  </si>
  <si>
    <t>%</t>
  </si>
  <si>
    <t>Mechanical items (% of 1 to 3)</t>
  </si>
  <si>
    <t>Landscaping &amp; Rehabilitation (% of 1 to 3)</t>
  </si>
  <si>
    <t>SUB TOTAL A</t>
  </si>
  <si>
    <t>Miscellaneous (% of Sub Total A)</t>
  </si>
  <si>
    <t>SUB TOTAL B</t>
  </si>
  <si>
    <t>Overheads (% of Sub Total B)</t>
  </si>
  <si>
    <t>Contingencies (% of Sub Total B)</t>
  </si>
  <si>
    <t xml:space="preserve">TOTAL </t>
  </si>
  <si>
    <t>The following adjustments must be made depending on the size of a weir :</t>
  </si>
  <si>
    <t xml:space="preserve">                    Size of weir</t>
  </si>
  <si>
    <t xml:space="preserve">         % Overheads</t>
  </si>
  <si>
    <t>Small ( &lt; 150 m ³ concrete)</t>
  </si>
  <si>
    <t>Meduim ( 150 - 500 m ³ concrete)</t>
  </si>
  <si>
    <t>Large ( &gt; 500 m ³ concrete)</t>
  </si>
  <si>
    <t>Only change the quantity to calculate the costs for different structures.</t>
  </si>
  <si>
    <t>Length of Weir Crest</t>
  </si>
  <si>
    <t>Slope of River Bank (n)</t>
  </si>
  <si>
    <t>Level of Weir Crest</t>
  </si>
  <si>
    <t>Top Level of Weir Structure</t>
  </si>
  <si>
    <t>Cross-sectional Area of Weir Crest</t>
  </si>
  <si>
    <t>m2</t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</si>
  <si>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</si>
  <si>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t>Crump Weir Crest:</t>
  </si>
  <si>
    <t>Cut-off Walls:</t>
  </si>
  <si>
    <t>Flank Walls:</t>
  </si>
  <si>
    <t>Total weight dowels</t>
  </si>
  <si>
    <t>kg</t>
  </si>
  <si>
    <t>Length</t>
  </si>
  <si>
    <t>Cross-sectional Area</t>
  </si>
  <si>
    <t>General Input:</t>
  </si>
  <si>
    <t>Instrumentation Hut:</t>
  </si>
  <si>
    <t>Total weight reinforcement</t>
  </si>
  <si>
    <t>Concrete Volume</t>
  </si>
  <si>
    <t>m3</t>
  </si>
  <si>
    <t>Reinforcement</t>
  </si>
  <si>
    <t>Door</t>
  </si>
  <si>
    <t>sum</t>
  </si>
  <si>
    <t>Raingauge</t>
  </si>
  <si>
    <t>Sum</t>
  </si>
  <si>
    <t>Rip-Rap:</t>
  </si>
  <si>
    <t>Excavations:</t>
  </si>
  <si>
    <t>Blinding:</t>
  </si>
  <si>
    <t>Selected Fill:</t>
  </si>
  <si>
    <t>Shutter Height</t>
  </si>
  <si>
    <t>Ha instrument</t>
  </si>
  <si>
    <t>Hb instrument</t>
  </si>
  <si>
    <t>Realtime</t>
  </si>
  <si>
    <t>Summary</t>
  </si>
  <si>
    <t>Concrete volume</t>
  </si>
  <si>
    <t>Rebar</t>
  </si>
  <si>
    <t>Foundation preparation:</t>
  </si>
  <si>
    <t>mass</t>
  </si>
  <si>
    <t>Reinforced</t>
  </si>
  <si>
    <t>blinding</t>
  </si>
  <si>
    <t>Estimated Civil Cost (2016 Rand value), excl VAT</t>
  </si>
  <si>
    <t>Est. Instrumentation Cost (2016 Rand value), excl VAT</t>
  </si>
  <si>
    <t>Width of river at lowest level (from DEM)</t>
  </si>
  <si>
    <t>Reduced Level of lowest level</t>
  </si>
  <si>
    <t>Width of river at Reduced Level (from DEM)</t>
  </si>
  <si>
    <t>Reduced Level of higher point on section</t>
  </si>
  <si>
    <t>Output:</t>
  </si>
  <si>
    <t>Chainage (m)</t>
  </si>
  <si>
    <t>Elevation (m)</t>
  </si>
  <si>
    <t>Alternative 1</t>
  </si>
  <si>
    <t>Alternative 2</t>
  </si>
  <si>
    <t>Alternative 3</t>
  </si>
  <si>
    <t>Realtime instrumentation</t>
  </si>
  <si>
    <t>Site ID:</t>
  </si>
  <si>
    <t>XYZ</t>
  </si>
  <si>
    <t>Costing tool for the establishment of gauging weirs</t>
  </si>
  <si>
    <t>Minimum:</t>
  </si>
  <si>
    <t>Maximum:</t>
  </si>
  <si>
    <t>Average:</t>
  </si>
  <si>
    <r>
      <t xml:space="preserve">Total Cost (Civil + Instrumentation), </t>
    </r>
    <r>
      <rPr>
        <b/>
        <u/>
        <sz val="14"/>
        <color theme="1"/>
        <rFont val="Calibri"/>
        <family val="2"/>
        <scheme val="minor"/>
      </rPr>
      <t>excl VAT</t>
    </r>
    <r>
      <rPr>
        <b/>
        <sz val="14"/>
        <color theme="1"/>
        <rFont val="Calibri"/>
        <family val="2"/>
        <scheme val="minor"/>
      </rPr>
      <t xml:space="preserve"> (2016 Rand Value)</t>
    </r>
  </si>
  <si>
    <t>NOTE:</t>
  </si>
  <si>
    <r>
      <t xml:space="preserve">For each new site to be analysed, </t>
    </r>
    <r>
      <rPr>
        <b/>
        <sz val="12"/>
        <color rgb="FFFF0000"/>
        <rFont val="Calibri"/>
        <family val="2"/>
        <scheme val="minor"/>
      </rPr>
      <t>FIRST</t>
    </r>
    <r>
      <rPr>
        <b/>
        <sz val="12"/>
        <color theme="1"/>
        <rFont val="Calibri"/>
        <family val="2"/>
        <scheme val="minor"/>
      </rPr>
      <t xml:space="preserve"> reset all the input cells to ZERO before starting to populate with the new site's information!!!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</si>
</sst>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0.0"/>
    <numFmt numFmtId="165" formatCode="&quot;R&quot;\ #,##0"/>
    <numFmt numFmtId="166" formatCode="0.0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4" fillId="0" borderId="0" xfId="1" applyFont="1" applyProtection="1"/>
    <xf numFmtId="0" fontId="5" fillId="0" borderId="0" xfId="1" applyFont="1" applyAlignment="1" applyProtection="1">
      <alignment vertical="center"/>
    </xf>
    <xf numFmtId="0" fontId="3" fillId="0" borderId="0" xfId="1" applyFont="1" applyProtection="1"/>
    <xf numFmtId="43" fontId="0" fillId="0" borderId="0" xfId="2" applyFont="1"/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43" fontId="0" fillId="0" borderId="2" xfId="2" applyFont="1" applyBorder="1" applyAlignment="1">
      <alignment horizontal="center"/>
    </xf>
    <xf numFmtId="0" fontId="0" fillId="0" borderId="9" xfId="0" applyBorder="1"/>
    <xf numFmtId="0" fontId="0" fillId="0" borderId="2" xfId="0" applyBorder="1"/>
    <xf numFmtId="0" fontId="0" fillId="0" borderId="8" xfId="0" applyBorder="1"/>
    <xf numFmtId="43" fontId="0" fillId="0" borderId="2" xfId="2" applyFont="1" applyBorder="1"/>
    <xf numFmtId="0" fontId="0" fillId="0" borderId="5" xfId="0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6" fillId="0" borderId="10" xfId="0" applyFont="1" applyBorder="1" applyAlignment="1">
      <alignment horizontal="center"/>
    </xf>
    <xf numFmtId="2" fontId="0" fillId="2" borderId="1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3" borderId="11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4" borderId="9" xfId="0" applyFill="1" applyBorder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43" fontId="0" fillId="4" borderId="2" xfId="2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2" fontId="0" fillId="0" borderId="12" xfId="0" applyNumberFormat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43" fontId="0" fillId="0" borderId="12" xfId="2" applyFont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164" fontId="0" fillId="4" borderId="10" xfId="0" applyNumberForma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2" fontId="0" fillId="4" borderId="10" xfId="0" applyNumberFormat="1" applyFill="1" applyBorder="1" applyAlignment="1">
      <alignment horizontal="center"/>
    </xf>
    <xf numFmtId="43" fontId="0" fillId="4" borderId="12" xfId="2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2" borderId="0" xfId="0" applyFill="1" applyBorder="1" applyAlignment="1">
      <alignment horizontal="center"/>
    </xf>
    <xf numFmtId="43" fontId="0" fillId="0" borderId="7" xfId="2" applyFont="1" applyBorder="1" applyAlignment="1">
      <alignment horizontal="center"/>
    </xf>
    <xf numFmtId="43" fontId="0" fillId="0" borderId="10" xfId="2" applyFont="1" applyBorder="1" applyAlignment="1">
      <alignment horizontal="center"/>
    </xf>
    <xf numFmtId="164" fontId="0" fillId="0" borderId="2" xfId="0" applyNumberFormat="1" applyBorder="1"/>
    <xf numFmtId="0" fontId="0" fillId="4" borderId="5" xfId="0" applyFill="1" applyBorder="1"/>
    <xf numFmtId="0" fontId="0" fillId="4" borderId="10" xfId="0" applyFill="1" applyBorder="1"/>
    <xf numFmtId="0" fontId="0" fillId="4" borderId="0" xfId="0" applyFill="1" applyBorder="1"/>
    <xf numFmtId="43" fontId="0" fillId="4" borderId="10" xfId="2" applyFont="1" applyFill="1" applyBorder="1" applyAlignment="1">
      <alignment horizontal="center"/>
    </xf>
    <xf numFmtId="0" fontId="0" fillId="0" borderId="11" xfId="0" applyBorder="1"/>
    <xf numFmtId="0" fontId="0" fillId="0" borderId="0" xfId="0" applyBorder="1"/>
    <xf numFmtId="0" fontId="0" fillId="0" borderId="6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3" xfId="0" applyBorder="1"/>
    <xf numFmtId="0" fontId="0" fillId="0" borderId="4" xfId="0" applyBorder="1" applyAlignment="1">
      <alignment horizontal="left"/>
    </xf>
    <xf numFmtId="0" fontId="7" fillId="0" borderId="0" xfId="0" applyFont="1"/>
    <xf numFmtId="0" fontId="4" fillId="0" borderId="0" xfId="0" applyFont="1"/>
    <xf numFmtId="0" fontId="0" fillId="5" borderId="0" xfId="0" applyFill="1"/>
    <xf numFmtId="164" fontId="4" fillId="0" borderId="2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65" fontId="7" fillId="0" borderId="0" xfId="0" applyNumberFormat="1" applyFont="1"/>
    <xf numFmtId="0" fontId="9" fillId="6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center"/>
    </xf>
    <xf numFmtId="166" fontId="0" fillId="0" borderId="0" xfId="0" applyNumberFormat="1" applyAlignment="1">
      <alignment horizontal="right"/>
    </xf>
    <xf numFmtId="0" fontId="0" fillId="0" borderId="0" xfId="0" applyFill="1"/>
    <xf numFmtId="0" fontId="0" fillId="0" borderId="0" xfId="0" applyFill="1" applyProtection="1">
      <protection locked="0"/>
    </xf>
    <xf numFmtId="0" fontId="7" fillId="7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7" fillId="8" borderId="0" xfId="0" applyFont="1" applyFill="1" applyAlignment="1">
      <alignment horizontal="center"/>
    </xf>
    <xf numFmtId="0" fontId="10" fillId="0" borderId="0" xfId="0" applyFont="1"/>
    <xf numFmtId="43" fontId="7" fillId="5" borderId="0" xfId="2" applyFont="1" applyFill="1"/>
    <xf numFmtId="0" fontId="0" fillId="7" borderId="0" xfId="0" applyFill="1"/>
    <xf numFmtId="43" fontId="7" fillId="7" borderId="0" xfId="2" applyFont="1" applyFill="1"/>
    <xf numFmtId="0" fontId="4" fillId="7" borderId="0" xfId="0" applyFont="1" applyFill="1"/>
    <xf numFmtId="2" fontId="0" fillId="7" borderId="0" xfId="0" applyNumberFormat="1" applyFill="1"/>
    <xf numFmtId="2" fontId="0" fillId="5" borderId="0" xfId="0" applyNumberFormat="1" applyFill="1"/>
    <xf numFmtId="0" fontId="2" fillId="5" borderId="0" xfId="0" applyFont="1" applyFill="1"/>
    <xf numFmtId="0" fontId="0" fillId="8" borderId="0" xfId="0" applyFill="1"/>
    <xf numFmtId="0" fontId="2" fillId="8" borderId="0" xfId="0" applyFont="1" applyFill="1"/>
    <xf numFmtId="43" fontId="7" fillId="8" borderId="0" xfId="2" applyFont="1" applyFill="1"/>
    <xf numFmtId="0" fontId="2" fillId="7" borderId="0" xfId="0" applyFont="1" applyFill="1"/>
    <xf numFmtId="2" fontId="0" fillId="8" borderId="0" xfId="0" applyNumberFormat="1" applyFill="1"/>
    <xf numFmtId="0" fontId="12" fillId="0" borderId="0" xfId="0" applyFont="1"/>
    <xf numFmtId="0" fontId="11" fillId="0" borderId="0" xfId="0" applyFont="1"/>
    <xf numFmtId="0" fontId="11" fillId="9" borderId="9" xfId="0" applyFont="1" applyFill="1" applyBorder="1" applyAlignment="1" applyProtection="1">
      <alignment horizontal="left"/>
      <protection locked="0"/>
    </xf>
    <xf numFmtId="0" fontId="11" fillId="9" borderId="8" xfId="0" applyFont="1" applyFill="1" applyBorder="1" applyAlignment="1" applyProtection="1">
      <alignment horizontal="left"/>
      <protection locked="0"/>
    </xf>
    <xf numFmtId="0" fontId="11" fillId="9" borderId="11" xfId="0" applyFont="1" applyFill="1" applyBorder="1" applyAlignment="1" applyProtection="1">
      <alignment horizontal="left"/>
      <protection locked="0"/>
    </xf>
    <xf numFmtId="165" fontId="10" fillId="7" borderId="14" xfId="0" applyNumberFormat="1" applyFont="1" applyFill="1" applyBorder="1"/>
    <xf numFmtId="165" fontId="10" fillId="5" borderId="14" xfId="0" applyNumberFormat="1" applyFont="1" applyFill="1" applyBorder="1"/>
    <xf numFmtId="165" fontId="10" fillId="8" borderId="14" xfId="0" applyNumberFormat="1" applyFont="1" applyFill="1" applyBorder="1"/>
    <xf numFmtId="0" fontId="13" fillId="0" borderId="0" xfId="0" applyFont="1" applyFill="1" applyAlignment="1">
      <alignment horizontal="right" indent="2"/>
    </xf>
    <xf numFmtId="0" fontId="10" fillId="9" borderId="15" xfId="0" applyFont="1" applyFill="1" applyBorder="1" applyAlignment="1">
      <alignment horizontal="right"/>
    </xf>
    <xf numFmtId="165" fontId="10" fillId="9" borderId="16" xfId="0" applyNumberFormat="1" applyFont="1" applyFill="1" applyBorder="1" applyAlignment="1">
      <alignment horizontal="center"/>
    </xf>
    <xf numFmtId="0" fontId="0" fillId="7" borderId="18" xfId="0" applyFill="1" applyBorder="1" applyProtection="1">
      <protection locked="0"/>
    </xf>
    <xf numFmtId="0" fontId="0" fillId="5" borderId="18" xfId="0" applyFill="1" applyBorder="1" applyProtection="1">
      <protection locked="0"/>
    </xf>
    <xf numFmtId="0" fontId="0" fillId="8" borderId="18" xfId="0" applyFill="1" applyBorder="1" applyProtection="1">
      <protection locked="0"/>
    </xf>
    <xf numFmtId="0" fontId="12" fillId="7" borderId="14" xfId="0" applyFont="1" applyFill="1" applyBorder="1" applyAlignment="1">
      <alignment horizontal="center"/>
    </xf>
    <xf numFmtId="0" fontId="12" fillId="5" borderId="14" xfId="0" applyFont="1" applyFill="1" applyBorder="1" applyAlignment="1">
      <alignment horizontal="center"/>
    </xf>
    <xf numFmtId="0" fontId="12" fillId="8" borderId="14" xfId="0" applyFont="1" applyFill="1" applyBorder="1" applyAlignment="1">
      <alignment horizontal="center"/>
    </xf>
    <xf numFmtId="0" fontId="0" fillId="7" borderId="17" xfId="0" applyFill="1" applyBorder="1" applyProtection="1">
      <protection locked="0"/>
    </xf>
    <xf numFmtId="0" fontId="0" fillId="7" borderId="19" xfId="0" applyFont="1" applyFill="1" applyBorder="1" applyProtection="1">
      <protection locked="0"/>
    </xf>
    <xf numFmtId="0" fontId="0" fillId="7" borderId="19" xfId="0" applyFill="1" applyBorder="1" applyProtection="1">
      <protection locked="0"/>
    </xf>
    <xf numFmtId="0" fontId="0" fillId="5" borderId="17" xfId="0" applyFill="1" applyBorder="1" applyProtection="1">
      <protection locked="0"/>
    </xf>
    <xf numFmtId="0" fontId="0" fillId="8" borderId="17" xfId="0" applyFill="1" applyBorder="1" applyProtection="1">
      <protection locked="0"/>
    </xf>
    <xf numFmtId="0" fontId="0" fillId="5" borderId="19" xfId="0" applyFill="1" applyBorder="1" applyProtection="1">
      <protection locked="0"/>
    </xf>
    <xf numFmtId="0" fontId="0" fillId="8" borderId="19" xfId="0" applyFill="1" applyBorder="1" applyProtection="1">
      <protection locked="0"/>
    </xf>
  </cellXfs>
  <cellStyles count="4">
    <cellStyle name="Comma 2" xfId="2"/>
    <cellStyle name="Normal" xfId="0" builtinId="0"/>
    <cellStyle name="Normal 2" xfId="1"/>
    <cellStyle name="Percent 2" xfId="3"/>
  </cellStyles>
  <dxfs count="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Lit>
              <c:formatCode>General</c:formatCode>
              <c:ptCount val="27"/>
              <c:pt idx="0">
                <c:v>0</c:v>
              </c:pt>
              <c:pt idx="1">
                <c:v>30.64</c:v>
              </c:pt>
              <c:pt idx="2">
                <c:v>61.28</c:v>
              </c:pt>
              <c:pt idx="3">
                <c:v>91.92</c:v>
              </c:pt>
              <c:pt idx="4">
                <c:v>113.84</c:v>
              </c:pt>
              <c:pt idx="5">
                <c:v>122.56</c:v>
              </c:pt>
              <c:pt idx="6">
                <c:v>153.19999999999999</c:v>
              </c:pt>
              <c:pt idx="7">
                <c:v>183.84</c:v>
              </c:pt>
              <c:pt idx="8">
                <c:v>214.47</c:v>
              </c:pt>
              <c:pt idx="9">
                <c:v>245.11</c:v>
              </c:pt>
              <c:pt idx="10">
                <c:v>275.75</c:v>
              </c:pt>
              <c:pt idx="11">
                <c:v>306.39</c:v>
              </c:pt>
              <c:pt idx="12">
                <c:v>337.03</c:v>
              </c:pt>
              <c:pt idx="13">
                <c:v>367.67</c:v>
              </c:pt>
              <c:pt idx="14">
                <c:v>376.3</c:v>
              </c:pt>
              <c:pt idx="15">
                <c:v>398.31</c:v>
              </c:pt>
              <c:pt idx="16">
                <c:v>428.95</c:v>
              </c:pt>
              <c:pt idx="17">
                <c:v>459.59</c:v>
              </c:pt>
              <c:pt idx="18">
                <c:v>490.23</c:v>
              </c:pt>
              <c:pt idx="19">
                <c:v>520.87</c:v>
              </c:pt>
              <c:pt idx="20">
                <c:v>551.51</c:v>
              </c:pt>
              <c:pt idx="21">
                <c:v>582.15</c:v>
              </c:pt>
              <c:pt idx="22">
                <c:v>612.78</c:v>
              </c:pt>
              <c:pt idx="23">
                <c:v>643.41999999999996</c:v>
              </c:pt>
              <c:pt idx="24">
                <c:v>674.06</c:v>
              </c:pt>
              <c:pt idx="25">
                <c:v>704.7</c:v>
              </c:pt>
              <c:pt idx="26">
                <c:v>735.34</c:v>
              </c:pt>
            </c:numLit>
          </c:xVal>
          <c:yVal>
            <c:numLit>
              <c:formatCode>General</c:formatCode>
              <c:ptCount val="27"/>
              <c:pt idx="0">
                <c:v>811.65</c:v>
              </c:pt>
              <c:pt idx="1">
                <c:v>813.97</c:v>
              </c:pt>
              <c:pt idx="2">
                <c:v>813.23</c:v>
              </c:pt>
              <c:pt idx="3">
                <c:v>810.4</c:v>
              </c:pt>
              <c:pt idx="4">
                <c:v>809.09</c:v>
              </c:pt>
              <c:pt idx="5">
                <c:v>808.56</c:v>
              </c:pt>
              <c:pt idx="6">
                <c:v>807.42</c:v>
              </c:pt>
              <c:pt idx="7">
                <c:v>805.71</c:v>
              </c:pt>
              <c:pt idx="8">
                <c:v>803</c:v>
              </c:pt>
              <c:pt idx="9">
                <c:v>803</c:v>
              </c:pt>
              <c:pt idx="10">
                <c:v>803</c:v>
              </c:pt>
              <c:pt idx="11">
                <c:v>803</c:v>
              </c:pt>
              <c:pt idx="12">
                <c:v>803</c:v>
              </c:pt>
              <c:pt idx="13">
                <c:v>803</c:v>
              </c:pt>
              <c:pt idx="14">
                <c:v>803</c:v>
              </c:pt>
              <c:pt idx="15">
                <c:v>803</c:v>
              </c:pt>
              <c:pt idx="16">
                <c:v>803</c:v>
              </c:pt>
              <c:pt idx="17">
                <c:v>803.37</c:v>
              </c:pt>
              <c:pt idx="18">
                <c:v>811.66</c:v>
              </c:pt>
              <c:pt idx="19">
                <c:v>811.98</c:v>
              </c:pt>
              <c:pt idx="20">
                <c:v>813.16</c:v>
              </c:pt>
              <c:pt idx="21">
                <c:v>814.4</c:v>
              </c:pt>
              <c:pt idx="22">
                <c:v>814.3</c:v>
              </c:pt>
              <c:pt idx="23">
                <c:v>813.31</c:v>
              </c:pt>
              <c:pt idx="24">
                <c:v>815.51</c:v>
              </c:pt>
              <c:pt idx="25">
                <c:v>818.2</c:v>
              </c:pt>
              <c:pt idx="26">
                <c:v>820.82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238592"/>
        <c:axId val="66738432"/>
      </c:scatterChart>
      <c:valAx>
        <c:axId val="48238592"/>
        <c:scaling>
          <c:orientation val="minMax"/>
          <c:max val="75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ZA"/>
                  <a:t>Chainage (m)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6738432"/>
        <c:crosses val="autoZero"/>
        <c:crossBetween val="midCat"/>
        <c:majorUnit val="50"/>
      </c:valAx>
      <c:valAx>
        <c:axId val="66738432"/>
        <c:scaling>
          <c:orientation val="minMax"/>
          <c:max val="820"/>
          <c:min val="80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ZA"/>
                  <a:t>Elelvation (m)</a:t>
                </a:r>
              </a:p>
            </c:rich>
          </c:tx>
          <c:layout>
            <c:manualLayout>
              <c:xMode val="edge"/>
              <c:yMode val="edge"/>
              <c:x val="1.256168685509197E-2"/>
              <c:y val="0.3074198746289871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8238592"/>
        <c:crosses val="autoZero"/>
        <c:crossBetween val="midCat"/>
        <c:majorUnit val="1"/>
      </c:valAx>
    </c:plotArea>
    <c:plotVisOnly val="1"/>
    <c:dispBlanksAs val="gap"/>
    <c:showDLblsOverMax val="0"/>
  </c:chart>
  <c:txPr>
    <a:bodyPr/>
    <a:lstStyle/>
    <a:p>
      <a:pPr>
        <a:defRPr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Lit>
              <c:formatCode>General</c:formatCode>
              <c:ptCount val="26"/>
              <c:pt idx="0">
                <c:v>0</c:v>
              </c:pt>
              <c:pt idx="1">
                <c:v>30.87</c:v>
              </c:pt>
              <c:pt idx="2">
                <c:v>61.74</c:v>
              </c:pt>
              <c:pt idx="3">
                <c:v>92.6</c:v>
              </c:pt>
              <c:pt idx="4">
                <c:v>123.47</c:v>
              </c:pt>
              <c:pt idx="5">
                <c:v>127.63</c:v>
              </c:pt>
              <c:pt idx="6">
                <c:v>154.34</c:v>
              </c:pt>
              <c:pt idx="7">
                <c:v>185.21</c:v>
              </c:pt>
              <c:pt idx="8">
                <c:v>216.07</c:v>
              </c:pt>
              <c:pt idx="9">
                <c:v>246.94</c:v>
              </c:pt>
              <c:pt idx="10">
                <c:v>277.81</c:v>
              </c:pt>
              <c:pt idx="11">
                <c:v>308.68</c:v>
              </c:pt>
              <c:pt idx="12">
                <c:v>339.54</c:v>
              </c:pt>
              <c:pt idx="13">
                <c:v>370.41</c:v>
              </c:pt>
              <c:pt idx="14">
                <c:v>390.09</c:v>
              </c:pt>
              <c:pt idx="15">
                <c:v>401.28</c:v>
              </c:pt>
              <c:pt idx="16">
                <c:v>432.15</c:v>
              </c:pt>
              <c:pt idx="17">
                <c:v>463.01</c:v>
              </c:pt>
              <c:pt idx="18">
                <c:v>493.88</c:v>
              </c:pt>
              <c:pt idx="19">
                <c:v>524.75</c:v>
              </c:pt>
              <c:pt idx="20">
                <c:v>555.62</c:v>
              </c:pt>
              <c:pt idx="21">
                <c:v>586.48</c:v>
              </c:pt>
              <c:pt idx="22">
                <c:v>617.35</c:v>
              </c:pt>
              <c:pt idx="23">
                <c:v>648.22</c:v>
              </c:pt>
              <c:pt idx="24">
                <c:v>679.09</c:v>
              </c:pt>
              <c:pt idx="25">
                <c:v>709.95</c:v>
              </c:pt>
            </c:numLit>
          </c:xVal>
          <c:yVal>
            <c:numLit>
              <c:formatCode>General</c:formatCode>
              <c:ptCount val="26"/>
              <c:pt idx="0">
                <c:v>812.72</c:v>
              </c:pt>
              <c:pt idx="1">
                <c:v>811.95</c:v>
              </c:pt>
              <c:pt idx="2">
                <c:v>811.28</c:v>
              </c:pt>
              <c:pt idx="3">
                <c:v>810.5</c:v>
              </c:pt>
              <c:pt idx="4">
                <c:v>809.32</c:v>
              </c:pt>
              <c:pt idx="5">
                <c:v>809.1</c:v>
              </c:pt>
              <c:pt idx="6">
                <c:v>807.65</c:v>
              </c:pt>
              <c:pt idx="7">
                <c:v>805.57</c:v>
              </c:pt>
              <c:pt idx="8">
                <c:v>805</c:v>
              </c:pt>
              <c:pt idx="9">
                <c:v>805</c:v>
              </c:pt>
              <c:pt idx="10">
                <c:v>805</c:v>
              </c:pt>
              <c:pt idx="11">
                <c:v>805.97</c:v>
              </c:pt>
              <c:pt idx="12">
                <c:v>809.38</c:v>
              </c:pt>
              <c:pt idx="13">
                <c:v>811</c:v>
              </c:pt>
              <c:pt idx="14">
                <c:v>811</c:v>
              </c:pt>
              <c:pt idx="15">
                <c:v>811</c:v>
              </c:pt>
              <c:pt idx="16">
                <c:v>810.59</c:v>
              </c:pt>
              <c:pt idx="17">
                <c:v>810.59</c:v>
              </c:pt>
              <c:pt idx="18">
                <c:v>811.83</c:v>
              </c:pt>
              <c:pt idx="19">
                <c:v>813.95</c:v>
              </c:pt>
              <c:pt idx="20">
                <c:v>815.57</c:v>
              </c:pt>
              <c:pt idx="21">
                <c:v>817.1</c:v>
              </c:pt>
              <c:pt idx="22">
                <c:v>819.54</c:v>
              </c:pt>
              <c:pt idx="23">
                <c:v>820.77</c:v>
              </c:pt>
              <c:pt idx="24">
                <c:v>821.32</c:v>
              </c:pt>
              <c:pt idx="25">
                <c:v>822.3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218112"/>
        <c:axId val="48219648"/>
      </c:scatterChart>
      <c:valAx>
        <c:axId val="48218112"/>
        <c:scaling>
          <c:orientation val="minMax"/>
          <c:max val="750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48219648"/>
        <c:crosses val="autoZero"/>
        <c:crossBetween val="midCat"/>
        <c:majorUnit val="50"/>
      </c:valAx>
      <c:valAx>
        <c:axId val="48219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218112"/>
        <c:crosses val="autoZero"/>
        <c:crossBetween val="midCat"/>
        <c:majorUnit val="1"/>
      </c:valAx>
    </c:plotArea>
    <c:plotVisOnly val="1"/>
    <c:dispBlanksAs val="gap"/>
    <c:showDLblsOverMax val="0"/>
  </c:chart>
  <c:txPr>
    <a:bodyPr/>
    <a:lstStyle/>
    <a:p>
      <a:pPr>
        <a:defRPr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Lit>
              <c:formatCode>General</c:formatCode>
              <c:ptCount val="29"/>
              <c:pt idx="0">
                <c:v>0</c:v>
              </c:pt>
              <c:pt idx="1">
                <c:v>29.82</c:v>
              </c:pt>
              <c:pt idx="2">
                <c:v>59.64</c:v>
              </c:pt>
              <c:pt idx="3">
                <c:v>89.45</c:v>
              </c:pt>
              <c:pt idx="4">
                <c:v>119.27</c:v>
              </c:pt>
              <c:pt idx="5">
                <c:v>139.03</c:v>
              </c:pt>
              <c:pt idx="6">
                <c:v>149.09</c:v>
              </c:pt>
              <c:pt idx="7">
                <c:v>178.91</c:v>
              </c:pt>
              <c:pt idx="8">
                <c:v>208.73</c:v>
              </c:pt>
              <c:pt idx="9">
                <c:v>238.55</c:v>
              </c:pt>
              <c:pt idx="10">
                <c:v>268.36</c:v>
              </c:pt>
              <c:pt idx="11">
                <c:v>298.18</c:v>
              </c:pt>
              <c:pt idx="12">
                <c:v>328</c:v>
              </c:pt>
              <c:pt idx="13">
                <c:v>357.82</c:v>
              </c:pt>
              <c:pt idx="14">
                <c:v>387.64</c:v>
              </c:pt>
              <c:pt idx="15">
                <c:v>417.46</c:v>
              </c:pt>
              <c:pt idx="16">
                <c:v>434.53</c:v>
              </c:pt>
              <c:pt idx="17">
                <c:v>447.27</c:v>
              </c:pt>
              <c:pt idx="18">
                <c:v>477.09</c:v>
              </c:pt>
              <c:pt idx="19">
                <c:v>506.91</c:v>
              </c:pt>
              <c:pt idx="20">
                <c:v>536.73</c:v>
              </c:pt>
              <c:pt idx="21">
                <c:v>566.54999999999995</c:v>
              </c:pt>
              <c:pt idx="22">
                <c:v>596.36</c:v>
              </c:pt>
              <c:pt idx="23">
                <c:v>626.17999999999995</c:v>
              </c:pt>
              <c:pt idx="24">
                <c:v>656</c:v>
              </c:pt>
              <c:pt idx="25">
                <c:v>685.82</c:v>
              </c:pt>
              <c:pt idx="26">
                <c:v>715.64</c:v>
              </c:pt>
              <c:pt idx="27">
                <c:v>745.46</c:v>
              </c:pt>
              <c:pt idx="28">
                <c:v>775.27</c:v>
              </c:pt>
            </c:numLit>
          </c:xVal>
          <c:yVal>
            <c:numLit>
              <c:formatCode>General</c:formatCode>
              <c:ptCount val="29"/>
              <c:pt idx="0">
                <c:v>810.09</c:v>
              </c:pt>
              <c:pt idx="1">
                <c:v>809.85</c:v>
              </c:pt>
              <c:pt idx="2">
                <c:v>809.86</c:v>
              </c:pt>
              <c:pt idx="3">
                <c:v>809.37</c:v>
              </c:pt>
              <c:pt idx="4">
                <c:v>805.74</c:v>
              </c:pt>
              <c:pt idx="5">
                <c:v>803.6</c:v>
              </c:pt>
              <c:pt idx="6">
                <c:v>802.51</c:v>
              </c:pt>
              <c:pt idx="7">
                <c:v>802.48</c:v>
              </c:pt>
              <c:pt idx="8">
                <c:v>802.86</c:v>
              </c:pt>
              <c:pt idx="9">
                <c:v>802.62</c:v>
              </c:pt>
              <c:pt idx="10">
                <c:v>803</c:v>
              </c:pt>
              <c:pt idx="11">
                <c:v>803</c:v>
              </c:pt>
              <c:pt idx="12">
                <c:v>803</c:v>
              </c:pt>
              <c:pt idx="13">
                <c:v>805.48</c:v>
              </c:pt>
              <c:pt idx="14">
                <c:v>807.65</c:v>
              </c:pt>
              <c:pt idx="15">
                <c:v>808.23</c:v>
              </c:pt>
              <c:pt idx="16">
                <c:v>808.57</c:v>
              </c:pt>
              <c:pt idx="17">
                <c:v>808.82</c:v>
              </c:pt>
              <c:pt idx="18">
                <c:v>809.03</c:v>
              </c:pt>
              <c:pt idx="19">
                <c:v>809.98</c:v>
              </c:pt>
              <c:pt idx="20">
                <c:v>811.56</c:v>
              </c:pt>
              <c:pt idx="21">
                <c:v>813.38</c:v>
              </c:pt>
              <c:pt idx="22">
                <c:v>815.55</c:v>
              </c:pt>
              <c:pt idx="23">
                <c:v>817.69</c:v>
              </c:pt>
              <c:pt idx="24">
                <c:v>819.83</c:v>
              </c:pt>
              <c:pt idx="25">
                <c:v>820.33</c:v>
              </c:pt>
              <c:pt idx="26">
                <c:v>819.91</c:v>
              </c:pt>
              <c:pt idx="27">
                <c:v>819.34</c:v>
              </c:pt>
              <c:pt idx="28">
                <c:v>819.52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57056"/>
        <c:axId val="82958592"/>
      </c:scatterChart>
      <c:valAx>
        <c:axId val="82957056"/>
        <c:scaling>
          <c:orientation val="minMax"/>
          <c:max val="80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82958592"/>
        <c:crosses val="autoZero"/>
        <c:crossBetween val="midCat"/>
        <c:majorUnit val="50"/>
      </c:valAx>
      <c:valAx>
        <c:axId val="82958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957056"/>
        <c:crosses val="autoZero"/>
        <c:crossBetween val="midCat"/>
        <c:majorUnit val="1"/>
      </c:valAx>
    </c:plotArea>
    <c:plotVisOnly val="1"/>
    <c:dispBlanksAs val="gap"/>
    <c:showDLblsOverMax val="0"/>
  </c:chart>
  <c:txPr>
    <a:bodyPr/>
    <a:lstStyle/>
    <a:p>
      <a:pPr>
        <a:defRPr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1</xdr:row>
      <xdr:rowOff>0</xdr:rowOff>
    </xdr:from>
    <xdr:to>
      <xdr:col>14</xdr:col>
      <xdr:colOff>371474</xdr:colOff>
      <xdr:row>18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592667</xdr:colOff>
      <xdr:row>19</xdr:row>
      <xdr:rowOff>35455</xdr:rowOff>
    </xdr:from>
    <xdr:to>
      <xdr:col>14</xdr:col>
      <xdr:colOff>381001</xdr:colOff>
      <xdr:row>35</xdr:row>
      <xdr:rowOff>10585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612773</xdr:colOff>
      <xdr:row>35</xdr:row>
      <xdr:rowOff>167746</xdr:rowOff>
    </xdr:from>
    <xdr:to>
      <xdr:col>14</xdr:col>
      <xdr:colOff>391583</xdr:colOff>
      <xdr:row>53</xdr:row>
      <xdr:rowOff>31750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463487</xdr:colOff>
      <xdr:row>8</xdr:row>
      <xdr:rowOff>183466</xdr:rowOff>
    </xdr:from>
    <xdr:to>
      <xdr:col>25</xdr:col>
      <xdr:colOff>115295</xdr:colOff>
      <xdr:row>12</xdr:row>
      <xdr:rowOff>98799</xdr:rowOff>
    </xdr:to>
    <xdr:sp macro="" textlink="">
      <xdr:nvSpPr>
        <xdr:cNvPr id="6" name="Freeform 5"/>
        <xdr:cNvSpPr/>
      </xdr:nvSpPr>
      <xdr:spPr>
        <a:xfrm>
          <a:off x="12935634" y="1707466"/>
          <a:ext cx="2677396" cy="677333"/>
        </a:xfrm>
        <a:custGeom>
          <a:avLst/>
          <a:gdLst>
            <a:gd name="connsiteX0" fmla="*/ 0 w 2688166"/>
            <a:gd name="connsiteY0" fmla="*/ 21166 h 677333"/>
            <a:gd name="connsiteX1" fmla="*/ 518583 w 2688166"/>
            <a:gd name="connsiteY1" fmla="*/ 666750 h 677333"/>
            <a:gd name="connsiteX2" fmla="*/ 2529416 w 2688166"/>
            <a:gd name="connsiteY2" fmla="*/ 677333 h 677333"/>
            <a:gd name="connsiteX3" fmla="*/ 2688166 w 2688166"/>
            <a:gd name="connsiteY3" fmla="*/ 0 h 677333"/>
            <a:gd name="connsiteX4" fmla="*/ 0 w 2688166"/>
            <a:gd name="connsiteY4" fmla="*/ 21166 h 677333"/>
            <a:gd name="connsiteX0" fmla="*/ 0 w 2716922"/>
            <a:gd name="connsiteY0" fmla="*/ 2116 h 677333"/>
            <a:gd name="connsiteX1" fmla="*/ 547339 w 2716922"/>
            <a:gd name="connsiteY1" fmla="*/ 666750 h 677333"/>
            <a:gd name="connsiteX2" fmla="*/ 2558172 w 2716922"/>
            <a:gd name="connsiteY2" fmla="*/ 677333 h 677333"/>
            <a:gd name="connsiteX3" fmla="*/ 2716922 w 2716922"/>
            <a:gd name="connsiteY3" fmla="*/ 0 h 677333"/>
            <a:gd name="connsiteX4" fmla="*/ 0 w 2716922"/>
            <a:gd name="connsiteY4" fmla="*/ 2116 h 6773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716922" h="677333">
              <a:moveTo>
                <a:pt x="0" y="2116"/>
              </a:moveTo>
              <a:lnTo>
                <a:pt x="547339" y="666750"/>
              </a:lnTo>
              <a:lnTo>
                <a:pt x="2558172" y="677333"/>
              </a:lnTo>
              <a:lnTo>
                <a:pt x="2716922" y="0"/>
              </a:lnTo>
              <a:lnTo>
                <a:pt x="0" y="2116"/>
              </a:lnTo>
              <a:close/>
            </a:path>
          </a:pathLst>
        </a:cu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249"/>
  <sheetViews>
    <sheetView tabSelected="1" workbookViewId="0">
      <selection activeCell="C3" sqref="C3:E3"/>
    </sheetView>
  </sheetViews>
  <sheetFormatPr defaultRowHeight="15" x14ac:dyDescent="0.25"/>
  <cols>
    <col min="5" max="5" width="36.5703125" bestFit="1" customWidth="1"/>
    <col min="7" max="7" width="13" bestFit="1" customWidth="1"/>
    <col min="8" max="8" width="19.7109375" customWidth="1"/>
    <col min="9" max="9" width="13.42578125" bestFit="1" customWidth="1"/>
    <col min="10" max="10" width="19.7109375" customWidth="1"/>
    <col min="11" max="11" width="12.42578125" customWidth="1"/>
    <col min="12" max="12" width="19.7109375" customWidth="1"/>
    <col min="24" max="24" width="36.5703125" bestFit="1" customWidth="1"/>
    <col min="26" max="26" width="14.7109375" bestFit="1" customWidth="1"/>
    <col min="27" max="27" width="13" customWidth="1"/>
    <col min="28" max="28" width="15.85546875" customWidth="1"/>
  </cols>
  <sheetData>
    <row r="3" spans="2:13" ht="18.75" x14ac:dyDescent="0.3">
      <c r="B3" s="90" t="s">
        <v>97</v>
      </c>
      <c r="C3" s="105"/>
      <c r="D3" s="106"/>
      <c r="E3" s="107"/>
      <c r="G3" s="85"/>
      <c r="I3" s="85"/>
      <c r="J3" s="85"/>
    </row>
    <row r="5" spans="2:13" ht="15.75" x14ac:dyDescent="0.25">
      <c r="E5" s="111" t="s">
        <v>104</v>
      </c>
      <c r="F5" s="103" t="s">
        <v>105</v>
      </c>
      <c r="I5" s="85"/>
    </row>
    <row r="7" spans="2:13" ht="16.5" thickBot="1" x14ac:dyDescent="0.3">
      <c r="B7" s="103" t="s">
        <v>99</v>
      </c>
    </row>
    <row r="8" spans="2:13" ht="16.5" thickBot="1" x14ac:dyDescent="0.3">
      <c r="B8" s="103" t="s">
        <v>59</v>
      </c>
      <c r="H8" s="117" t="s">
        <v>93</v>
      </c>
      <c r="I8" s="83"/>
      <c r="J8" s="118" t="s">
        <v>94</v>
      </c>
      <c r="K8" s="83"/>
      <c r="L8" s="119" t="s">
        <v>95</v>
      </c>
    </row>
    <row r="9" spans="2:13" x14ac:dyDescent="0.25">
      <c r="B9" t="s">
        <v>86</v>
      </c>
      <c r="H9" s="120"/>
      <c r="I9" t="s">
        <v>26</v>
      </c>
      <c r="J9" s="123"/>
      <c r="K9" t="s">
        <v>26</v>
      </c>
      <c r="L9" s="124"/>
      <c r="M9" t="s">
        <v>26</v>
      </c>
    </row>
    <row r="10" spans="2:13" x14ac:dyDescent="0.25">
      <c r="B10" t="s">
        <v>87</v>
      </c>
      <c r="H10" s="121"/>
      <c r="I10" t="s">
        <v>26</v>
      </c>
      <c r="J10" s="125"/>
      <c r="K10" t="s">
        <v>26</v>
      </c>
      <c r="L10" s="126"/>
      <c r="M10" t="s">
        <v>26</v>
      </c>
    </row>
    <row r="11" spans="2:13" x14ac:dyDescent="0.25">
      <c r="B11" t="s">
        <v>89</v>
      </c>
      <c r="H11" s="122"/>
      <c r="I11" t="s">
        <v>26</v>
      </c>
      <c r="J11" s="125"/>
      <c r="K11" t="s">
        <v>26</v>
      </c>
      <c r="L11" s="126"/>
      <c r="M11" t="s">
        <v>26</v>
      </c>
    </row>
    <row r="12" spans="2:13" ht="15.75" thickBot="1" x14ac:dyDescent="0.3">
      <c r="B12" t="s">
        <v>88</v>
      </c>
      <c r="H12" s="114"/>
      <c r="I12" t="s">
        <v>26</v>
      </c>
      <c r="J12" s="115"/>
      <c r="K12" t="s">
        <v>26</v>
      </c>
      <c r="L12" s="116"/>
      <c r="M12" t="s">
        <v>26</v>
      </c>
    </row>
    <row r="13" spans="2:13" x14ac:dyDescent="0.25">
      <c r="B13" t="s">
        <v>46</v>
      </c>
      <c r="H13" s="84">
        <f>IF(AND(H9="",H10="",H11="",H12=""),0,IF(AND(H9=0,H10=0,H11=0,H12=0),0,IF(OR(H9=0,H9="",H10=0,H10="",H11=0,H11="",H12=0,H12="",H9&gt;H12),"Check Input",((H12-H9)/2)/(H11-H10))))</f>
        <v>0</v>
      </c>
      <c r="J13" s="84">
        <f>IF(AND(J9="",J10="",J11="",J12=""),0,IF(AND(J9=0,J10=0,J11=0,J12=0),0,IF(OR(J9=0,J9="",J10=0,J10="",J11=0,J11="",J12=0,J12="",J9&gt;J12),"Check Input",((J12-J9)/2)/(J11-J10))))</f>
        <v>0</v>
      </c>
      <c r="L13" s="84">
        <f>IF(AND(L9="",L10="",L11="",L12=""),0,IF(AND(L9=0,L10=0,L11=0,L12=0),0,IF(OR(L9=0,L9="",L10=0,L10="",L11=0,L11="",L12=0,L12="",L9&gt;L12),"Check Input",((L12-L9)/2)/(L11-L10))))</f>
        <v>0</v>
      </c>
    </row>
    <row r="14" spans="2:13" x14ac:dyDescent="0.25">
      <c r="B14" t="s">
        <v>47</v>
      </c>
      <c r="H14" s="74">
        <f>IF(H13="Check Input",0, IF(H13&gt;0,H10+1.5,0))</f>
        <v>0</v>
      </c>
      <c r="I14" t="s">
        <v>26</v>
      </c>
      <c r="J14" s="74">
        <f>IF(J13="Check Input",0, IF(J13&gt;0,J10+1.5,0))</f>
        <v>0</v>
      </c>
      <c r="K14" t="s">
        <v>26</v>
      </c>
      <c r="L14" s="74">
        <f>IF(L13="Check Input",0, IF(L13&gt;0,L10+1.5,0))</f>
        <v>0</v>
      </c>
      <c r="M14" t="s">
        <v>26</v>
      </c>
    </row>
    <row r="15" spans="2:13" x14ac:dyDescent="0.25">
      <c r="B15" t="s">
        <v>48</v>
      </c>
      <c r="H15">
        <f>IF(H13="Check Input",0,H14+2.5)</f>
        <v>2.5</v>
      </c>
      <c r="I15" t="s">
        <v>26</v>
      </c>
      <c r="J15">
        <f>IF(J13="Check Input",0,J14+2.5)</f>
        <v>2.5</v>
      </c>
      <c r="K15" t="s">
        <v>26</v>
      </c>
      <c r="L15">
        <f>IF(L13="Check Input",0,L14+2.5)</f>
        <v>2.5</v>
      </c>
      <c r="M15" t="s">
        <v>26</v>
      </c>
    </row>
    <row r="17" spans="2:12" ht="15.75" x14ac:dyDescent="0.25">
      <c r="B17" s="103" t="s">
        <v>90</v>
      </c>
    </row>
    <row r="18" spans="2:12" x14ac:dyDescent="0.25">
      <c r="B18" t="s">
        <v>85</v>
      </c>
      <c r="H18" s="79">
        <f>IF(H13="Check Input",0,IF(H13=0,0,ROUNDUP((H36*H62+H37*H65+H63+H64),0)))</f>
        <v>0</v>
      </c>
      <c r="J18" s="79">
        <f>IF(J13="Check Input",0,IF(J13=0,0,ROUNDUP((J36*J62+J37*J65+J63+J64),0)))</f>
        <v>0</v>
      </c>
      <c r="L18" s="79">
        <f>IF(L13="Check Input",0,IF(L13=0,0,ROUNDUP((L36*L62+L37*L65+L63+L64),0)))</f>
        <v>0</v>
      </c>
    </row>
    <row r="19" spans="2:12" ht="15.75" thickBot="1" x14ac:dyDescent="0.3">
      <c r="B19" t="s">
        <v>84</v>
      </c>
      <c r="H19" s="79">
        <f>IF(H13="Check Input",0,IF(H13=0,0,ROUNDUP(I124+H61,0)))</f>
        <v>0</v>
      </c>
      <c r="J19" s="79">
        <f>IF(J13="Check Input",0,IF(J13=0,0,ROUNDUP(I181+J61,0)))</f>
        <v>0</v>
      </c>
      <c r="L19" s="79">
        <f>IF(L13="Check Input",0,IF(L13=0,0,ROUNDUP(I237+L61,0)))</f>
        <v>0</v>
      </c>
    </row>
    <row r="20" spans="2:12" ht="19.5" thickBot="1" x14ac:dyDescent="0.35">
      <c r="B20" s="90" t="s">
        <v>103</v>
      </c>
      <c r="C20" s="104"/>
      <c r="D20" s="104"/>
      <c r="E20" s="104"/>
      <c r="F20" s="104"/>
      <c r="G20" s="104"/>
      <c r="H20" s="108">
        <f>ROUNDUP(H18+H19,-5)</f>
        <v>0</v>
      </c>
      <c r="I20" s="104"/>
      <c r="J20" s="109">
        <f>ROUNDUP(J18+J19,-5)</f>
        <v>0</v>
      </c>
      <c r="K20" s="104"/>
      <c r="L20" s="110">
        <f>ROUNDUP(L18+L19,-5)</f>
        <v>0</v>
      </c>
    </row>
    <row r="21" spans="2:12" ht="19.5" thickBot="1" x14ac:dyDescent="0.35">
      <c r="B21" s="103"/>
      <c r="C21" s="104"/>
      <c r="D21" s="104"/>
      <c r="E21" s="104"/>
      <c r="F21" s="104"/>
      <c r="G21" s="104"/>
    </row>
    <row r="22" spans="2:12" ht="19.5" thickBot="1" x14ac:dyDescent="0.35">
      <c r="B22" s="103"/>
      <c r="C22" s="104"/>
      <c r="D22" s="104"/>
      <c r="E22" s="104"/>
      <c r="F22" s="104"/>
      <c r="G22" s="112" t="s">
        <v>100</v>
      </c>
      <c r="H22" s="113">
        <f>IF(AND($H20&gt;0,$J20&gt;0,$L20&gt;0),MIN($H20,$J20,$L20),IF(AND($H20&gt;0,$J20&gt;0,$L20=0),MIN($H20,$J20),$H20))</f>
        <v>0</v>
      </c>
      <c r="I22" s="112" t="s">
        <v>101</v>
      </c>
      <c r="J22" s="113">
        <f>IF(AND($H20&gt;0,$J20&gt;0,$L20&gt;0),MAX($H20,$J20,$L20),IF(AND($H20&gt;0,$J20&gt;0,$L20=0),MAX($H20,$J20),$H20))</f>
        <v>0</v>
      </c>
      <c r="K22" s="112" t="s">
        <v>102</v>
      </c>
      <c r="L22" s="113">
        <f>IF(AND($H20&gt;0,$J20&gt;0,$L20&gt;0),AVERAGE($H20,$J20,$L20),IF(AND($H20&gt;0,$J20&gt;0,$L20=0),AVERAGE($H20,$J20),$H20))</f>
        <v>0</v>
      </c>
    </row>
    <row r="23" spans="2:12" x14ac:dyDescent="0.25">
      <c r="H23" s="79"/>
    </row>
    <row r="24" spans="2:12" hidden="1" x14ac:dyDescent="0.25">
      <c r="H24" s="79"/>
    </row>
    <row r="25" spans="2:12" hidden="1" x14ac:dyDescent="0.25">
      <c r="H25" s="79"/>
    </row>
    <row r="26" spans="2:12" hidden="1" x14ac:dyDescent="0.25">
      <c r="H26" s="79"/>
    </row>
    <row r="27" spans="2:12" hidden="1" x14ac:dyDescent="0.25">
      <c r="H27" s="79"/>
    </row>
    <row r="28" spans="2:12" hidden="1" x14ac:dyDescent="0.25">
      <c r="H28" s="79"/>
    </row>
    <row r="29" spans="2:12" hidden="1" x14ac:dyDescent="0.25">
      <c r="H29" s="79"/>
    </row>
    <row r="30" spans="2:12" hidden="1" x14ac:dyDescent="0.25">
      <c r="H30" s="79"/>
    </row>
    <row r="31" spans="2:12" hidden="1" x14ac:dyDescent="0.25">
      <c r="H31" s="79"/>
    </row>
    <row r="32" spans="2:12" hidden="1" x14ac:dyDescent="0.25">
      <c r="H32" s="79"/>
    </row>
    <row r="33" spans="2:13" hidden="1" x14ac:dyDescent="0.25">
      <c r="H33" s="79"/>
    </row>
    <row r="34" spans="2:13" hidden="1" x14ac:dyDescent="0.25"/>
    <row r="35" spans="2:13" hidden="1" x14ac:dyDescent="0.25"/>
    <row r="36" spans="2:13" hidden="1" x14ac:dyDescent="0.25">
      <c r="B36" t="s">
        <v>67</v>
      </c>
      <c r="H36" s="86">
        <v>1</v>
      </c>
      <c r="I36" s="85"/>
      <c r="J36" s="86">
        <v>1</v>
      </c>
      <c r="K36" s="85"/>
      <c r="L36" s="86">
        <v>1</v>
      </c>
    </row>
    <row r="37" spans="2:13" hidden="1" x14ac:dyDescent="0.25">
      <c r="B37" t="s">
        <v>96</v>
      </c>
      <c r="H37" s="86">
        <v>1</v>
      </c>
      <c r="I37" s="85"/>
      <c r="J37" s="86">
        <v>1</v>
      </c>
      <c r="K37" s="85"/>
      <c r="L37" s="86">
        <v>1</v>
      </c>
    </row>
    <row r="38" spans="2:13" hidden="1" x14ac:dyDescent="0.25"/>
    <row r="39" spans="2:13" hidden="1" x14ac:dyDescent="0.25">
      <c r="B39" s="73" t="s">
        <v>52</v>
      </c>
      <c r="H39" s="87" t="s">
        <v>93</v>
      </c>
      <c r="I39" s="83"/>
      <c r="J39" s="88" t="s">
        <v>94</v>
      </c>
      <c r="K39" s="83"/>
      <c r="L39" s="89" t="s">
        <v>95</v>
      </c>
    </row>
    <row r="40" spans="2:13" hidden="1" x14ac:dyDescent="0.25">
      <c r="B40" t="s">
        <v>45</v>
      </c>
      <c r="H40" s="94">
        <f>ROUNDUP((H9+(H14-H10)*H13*2-2),1)</f>
        <v>-2</v>
      </c>
      <c r="I40" t="s">
        <v>26</v>
      </c>
      <c r="J40" s="75">
        <f>ROUNDUP((J9+(J14-J10)*J13*2-2),1)</f>
        <v>-2</v>
      </c>
      <c r="K40" t="s">
        <v>26</v>
      </c>
      <c r="L40" s="98">
        <f>ROUNDUP((L9+(L14-L10)*L13*2-2),1)</f>
        <v>-2</v>
      </c>
      <c r="M40" t="s">
        <v>26</v>
      </c>
    </row>
    <row r="41" spans="2:13" ht="17.25" hidden="1" x14ac:dyDescent="0.25">
      <c r="B41" t="s">
        <v>49</v>
      </c>
      <c r="H41" s="95">
        <f>(H15-H14)*3*(H14-H10)-0.65*(H15-H14)^2</f>
        <v>-4.0625</v>
      </c>
      <c r="I41" t="s">
        <v>51</v>
      </c>
      <c r="J41" s="96">
        <f>(J15-J14)*3*(J14-J10)-0.65*(J15-J14)^2</f>
        <v>-4.0625</v>
      </c>
      <c r="K41" t="s">
        <v>50</v>
      </c>
      <c r="L41" s="102">
        <f>(L15-L14)*3*(L14-L10)-0.65*(L15-L14)^2</f>
        <v>-4.0625</v>
      </c>
      <c r="M41" t="s">
        <v>50</v>
      </c>
    </row>
    <row r="42" spans="2:13" hidden="1" x14ac:dyDescent="0.25">
      <c r="B42" t="s">
        <v>73</v>
      </c>
      <c r="H42" s="92">
        <f>(H14-H10)*2-(H15-H14)*0.9</f>
        <v>-2.25</v>
      </c>
      <c r="I42" t="s">
        <v>26</v>
      </c>
      <c r="J42" s="75">
        <f>(J14-J10)*2-(J15-J14)*0.9</f>
        <v>-2.25</v>
      </c>
      <c r="K42" t="s">
        <v>26</v>
      </c>
      <c r="L42" s="98">
        <f>(L14-L10)*2-(L15-L14)*0.9</f>
        <v>-2.25</v>
      </c>
      <c r="M42" t="s">
        <v>26</v>
      </c>
    </row>
    <row r="43" spans="2:13" hidden="1" x14ac:dyDescent="0.25">
      <c r="B43" t="s">
        <v>55</v>
      </c>
      <c r="H43" s="92">
        <f>ROUNDUP((H40/0.5+1),0)*4*(1+(H14-H10))</f>
        <v>-12</v>
      </c>
      <c r="I43" t="s">
        <v>56</v>
      </c>
      <c r="J43" s="75">
        <f>ROUNDUP((J40/0.5+1),0)*4*(1+(J14-J10))</f>
        <v>-12</v>
      </c>
      <c r="K43" t="s">
        <v>56</v>
      </c>
      <c r="L43" s="98">
        <f>ROUNDUP((L40/0.5+1),0)*4*(1+(L14-L10))</f>
        <v>-12</v>
      </c>
      <c r="M43" t="s">
        <v>56</v>
      </c>
    </row>
    <row r="44" spans="2:13" hidden="1" x14ac:dyDescent="0.25">
      <c r="H44" s="92"/>
      <c r="J44" s="75"/>
      <c r="L44" s="98"/>
    </row>
    <row r="45" spans="2:13" hidden="1" x14ac:dyDescent="0.25">
      <c r="B45" s="73" t="s">
        <v>53</v>
      </c>
      <c r="H45" s="92"/>
      <c r="J45" s="75"/>
      <c r="L45" s="98"/>
    </row>
    <row r="46" spans="2:13" hidden="1" x14ac:dyDescent="0.25">
      <c r="B46" t="s">
        <v>57</v>
      </c>
      <c r="H46" s="94">
        <f>ROUNDUP((H9+(H15-H10)*H13*2),1)-H40+12</f>
        <v>14</v>
      </c>
      <c r="I46" t="s">
        <v>26</v>
      </c>
      <c r="J46" s="75">
        <f>ROUNDUP((J9+(J15-J10)*J13*2),1)-J40+12</f>
        <v>14</v>
      </c>
      <c r="K46" t="s">
        <v>26</v>
      </c>
      <c r="L46" s="98">
        <f>ROUNDUP((L9+(L15-L10)*L13*2),1)-L40+12</f>
        <v>14</v>
      </c>
      <c r="M46" t="s">
        <v>26</v>
      </c>
    </row>
    <row r="47" spans="2:13" ht="17.25" hidden="1" x14ac:dyDescent="0.25">
      <c r="B47" t="s">
        <v>58</v>
      </c>
      <c r="H47" s="92">
        <f>((H15-H10)*0.6+2)/2*(H15-H10)</f>
        <v>4.375</v>
      </c>
      <c r="I47" t="s">
        <v>51</v>
      </c>
      <c r="J47" s="75">
        <f>((J15-J10)*0.6+2)/2*(J15-J10)</f>
        <v>4.375</v>
      </c>
      <c r="K47" t="s">
        <v>50</v>
      </c>
      <c r="L47" s="98">
        <f>((L15-L10)*0.6+2)/2*(L15-L10)</f>
        <v>4.375</v>
      </c>
      <c r="M47" t="s">
        <v>50</v>
      </c>
    </row>
    <row r="48" spans="2:13" hidden="1" x14ac:dyDescent="0.25">
      <c r="B48" t="s">
        <v>73</v>
      </c>
      <c r="H48" s="95">
        <f>(H15-H10)+(H15-H10)*(SQRT(1.36))</f>
        <v>5.4154759474226504</v>
      </c>
      <c r="I48" t="s">
        <v>26</v>
      </c>
      <c r="J48" s="96">
        <f>(J15-J10)+(J15-J10)*(SQRT(1.36))</f>
        <v>5.4154759474226504</v>
      </c>
      <c r="K48" t="s">
        <v>26</v>
      </c>
      <c r="L48" s="102">
        <f>(L15-L10)+(L15-L10)*(SQRT(1.36))</f>
        <v>5.4154759474226504</v>
      </c>
      <c r="M48" t="s">
        <v>26</v>
      </c>
    </row>
    <row r="49" spans="2:13" hidden="1" x14ac:dyDescent="0.25">
      <c r="B49" t="s">
        <v>55</v>
      </c>
      <c r="H49" s="92">
        <f>ROUNDUP((H46/1+1),0)*4*(H15-H10+1)</f>
        <v>210</v>
      </c>
      <c r="I49" t="s">
        <v>56</v>
      </c>
      <c r="J49" s="75">
        <f>ROUNDUP((J46/1+1),0)*4*(J15-J10+1)</f>
        <v>210</v>
      </c>
      <c r="K49" t="s">
        <v>56</v>
      </c>
      <c r="L49" s="98">
        <f>ROUNDUP((L46/1+1),0)*4*(L15-L10+1)</f>
        <v>210</v>
      </c>
      <c r="M49" t="s">
        <v>56</v>
      </c>
    </row>
    <row r="50" spans="2:13" hidden="1" x14ac:dyDescent="0.25">
      <c r="H50" s="92"/>
      <c r="J50" s="75"/>
      <c r="L50" s="98"/>
    </row>
    <row r="51" spans="2:13" hidden="1" x14ac:dyDescent="0.25">
      <c r="B51" s="73" t="s">
        <v>54</v>
      </c>
      <c r="H51" s="92"/>
      <c r="J51" s="75"/>
      <c r="L51" s="98"/>
    </row>
    <row r="52" spans="2:13" hidden="1" x14ac:dyDescent="0.25">
      <c r="B52" t="s">
        <v>57</v>
      </c>
      <c r="H52" s="92">
        <f>ROUNDUP((H15-H14)*19,0)</f>
        <v>48</v>
      </c>
      <c r="I52" t="s">
        <v>26</v>
      </c>
      <c r="J52" s="75">
        <f>ROUNDUP((J15-J14)*19,0)</f>
        <v>48</v>
      </c>
      <c r="K52" t="s">
        <v>26</v>
      </c>
      <c r="L52" s="98">
        <f>ROUNDUP((L15-L14)*19,0)</f>
        <v>48</v>
      </c>
      <c r="M52" t="s">
        <v>26</v>
      </c>
    </row>
    <row r="53" spans="2:13" ht="17.25" hidden="1" x14ac:dyDescent="0.25">
      <c r="B53" t="s">
        <v>58</v>
      </c>
      <c r="H53" s="92">
        <f>1*(H15-H10)</f>
        <v>2.5</v>
      </c>
      <c r="I53" t="s">
        <v>51</v>
      </c>
      <c r="J53" s="75">
        <f>1*(J15-J10)</f>
        <v>2.5</v>
      </c>
      <c r="K53" t="s">
        <v>50</v>
      </c>
      <c r="L53" s="98">
        <f>1*(L15-L10)</f>
        <v>2.5</v>
      </c>
      <c r="M53" t="s">
        <v>50</v>
      </c>
    </row>
    <row r="54" spans="2:13" hidden="1" x14ac:dyDescent="0.25">
      <c r="B54" t="s">
        <v>73</v>
      </c>
      <c r="H54" s="92">
        <f>2*(H15-H10)</f>
        <v>5</v>
      </c>
      <c r="I54" t="s">
        <v>26</v>
      </c>
      <c r="J54" s="75">
        <f>2*(J15-J10)</f>
        <v>5</v>
      </c>
      <c r="K54" t="s">
        <v>26</v>
      </c>
      <c r="L54" s="98">
        <f>2*(L15-L10)</f>
        <v>5</v>
      </c>
      <c r="M54" t="s">
        <v>26</v>
      </c>
    </row>
    <row r="55" spans="2:13" hidden="1" x14ac:dyDescent="0.25">
      <c r="B55" t="s">
        <v>61</v>
      </c>
      <c r="H55" s="92">
        <f>H52*(H15-H10)*35+20*H52</f>
        <v>5160</v>
      </c>
      <c r="I55" t="s">
        <v>56</v>
      </c>
      <c r="J55" s="75">
        <f>J52*(J15-J10)*35+20*J52</f>
        <v>5160</v>
      </c>
      <c r="K55" t="s">
        <v>56</v>
      </c>
      <c r="L55" s="98">
        <f>L52*(L15-L10)*35+20*L52</f>
        <v>5160</v>
      </c>
      <c r="M55" t="s">
        <v>56</v>
      </c>
    </row>
    <row r="56" spans="2:13" hidden="1" x14ac:dyDescent="0.25">
      <c r="H56" s="92"/>
      <c r="J56" s="75"/>
      <c r="L56" s="98"/>
    </row>
    <row r="57" spans="2:13" hidden="1" x14ac:dyDescent="0.25">
      <c r="B57" s="73" t="s">
        <v>60</v>
      </c>
      <c r="H57" s="92"/>
      <c r="J57" s="75"/>
      <c r="L57" s="98"/>
    </row>
    <row r="58" spans="2:13" hidden="1" x14ac:dyDescent="0.25">
      <c r="B58" t="s">
        <v>62</v>
      </c>
      <c r="H58" s="92">
        <v>6</v>
      </c>
      <c r="I58" t="s">
        <v>63</v>
      </c>
      <c r="J58" s="75">
        <v>6</v>
      </c>
      <c r="K58" t="s">
        <v>63</v>
      </c>
      <c r="L58" s="98">
        <v>6</v>
      </c>
      <c r="M58" t="s">
        <v>63</v>
      </c>
    </row>
    <row r="59" spans="2:13" hidden="1" x14ac:dyDescent="0.25">
      <c r="B59" t="s">
        <v>64</v>
      </c>
      <c r="H59" s="92">
        <v>470</v>
      </c>
      <c r="I59" t="s">
        <v>56</v>
      </c>
      <c r="J59" s="75">
        <v>470</v>
      </c>
      <c r="K59" t="s">
        <v>56</v>
      </c>
      <c r="L59" s="98">
        <v>470</v>
      </c>
      <c r="M59" t="s">
        <v>56</v>
      </c>
    </row>
    <row r="60" spans="2:13" ht="17.25" hidden="1" x14ac:dyDescent="0.25">
      <c r="B60" t="s">
        <v>14</v>
      </c>
      <c r="H60" s="92">
        <v>30</v>
      </c>
      <c r="I60" t="s">
        <v>51</v>
      </c>
      <c r="J60" s="75">
        <v>30</v>
      </c>
      <c r="K60" t="s">
        <v>50</v>
      </c>
      <c r="L60" s="98">
        <v>30</v>
      </c>
      <c r="M60" t="s">
        <v>50</v>
      </c>
    </row>
    <row r="61" spans="2:13" hidden="1" x14ac:dyDescent="0.25">
      <c r="B61" t="s">
        <v>65</v>
      </c>
      <c r="H61" s="92">
        <v>25000</v>
      </c>
      <c r="I61" t="s">
        <v>66</v>
      </c>
      <c r="J61" s="75">
        <v>25000</v>
      </c>
      <c r="K61" t="s">
        <v>66</v>
      </c>
      <c r="L61" s="98">
        <v>25000</v>
      </c>
      <c r="M61" t="s">
        <v>66</v>
      </c>
    </row>
    <row r="62" spans="2:13" hidden="1" x14ac:dyDescent="0.25">
      <c r="B62" t="s">
        <v>67</v>
      </c>
      <c r="H62" s="92">
        <v>30000</v>
      </c>
      <c r="I62" t="s">
        <v>68</v>
      </c>
      <c r="J62" s="75">
        <v>30000</v>
      </c>
      <c r="K62" t="s">
        <v>68</v>
      </c>
      <c r="L62" s="98">
        <v>30000</v>
      </c>
      <c r="M62" t="s">
        <v>68</v>
      </c>
    </row>
    <row r="63" spans="2:13" hidden="1" x14ac:dyDescent="0.25">
      <c r="B63" t="s">
        <v>74</v>
      </c>
      <c r="H63" s="92">
        <v>35000</v>
      </c>
      <c r="I63" t="s">
        <v>68</v>
      </c>
      <c r="J63" s="75">
        <v>35000</v>
      </c>
      <c r="K63" t="s">
        <v>68</v>
      </c>
      <c r="L63" s="98">
        <v>35000</v>
      </c>
      <c r="M63" t="s">
        <v>68</v>
      </c>
    </row>
    <row r="64" spans="2:13" hidden="1" x14ac:dyDescent="0.25">
      <c r="B64" t="s">
        <v>75</v>
      </c>
      <c r="H64" s="92">
        <v>35000</v>
      </c>
      <c r="I64" t="s">
        <v>68</v>
      </c>
      <c r="J64" s="75">
        <v>35000</v>
      </c>
      <c r="K64" t="s">
        <v>68</v>
      </c>
      <c r="L64" s="98">
        <v>35000</v>
      </c>
      <c r="M64" t="s">
        <v>68</v>
      </c>
    </row>
    <row r="65" spans="2:29" hidden="1" x14ac:dyDescent="0.25">
      <c r="B65" t="s">
        <v>76</v>
      </c>
      <c r="H65" s="92">
        <v>60000</v>
      </c>
      <c r="I65" t="s">
        <v>68</v>
      </c>
      <c r="J65" s="75">
        <v>60000</v>
      </c>
      <c r="K65" t="s">
        <v>68</v>
      </c>
      <c r="L65" s="98">
        <v>60000</v>
      </c>
      <c r="M65" t="s">
        <v>68</v>
      </c>
    </row>
    <row r="66" spans="2:29" hidden="1" x14ac:dyDescent="0.25">
      <c r="H66" s="92"/>
      <c r="J66" s="75"/>
      <c r="L66" s="98"/>
    </row>
    <row r="67" spans="2:29" hidden="1" x14ac:dyDescent="0.25">
      <c r="B67" s="73" t="s">
        <v>71</v>
      </c>
      <c r="H67" s="92">
        <f>ROUNDUP(H40*0.2*((H15-H14)*3+2)+0.2*H46*((H15-H10)*0.6+3)+H52*0.2*2,0)</f>
        <v>28</v>
      </c>
      <c r="I67" t="s">
        <v>63</v>
      </c>
      <c r="J67" s="75">
        <f>ROUNDUP(J40*0.2*((J15-J14)*3+2)+0.2*J46*((J15-J10)*0.6+3)+J52*0.2*2,0)</f>
        <v>28</v>
      </c>
      <c r="K67" t="s">
        <v>63</v>
      </c>
      <c r="L67" s="98">
        <f>ROUNDUP(L40*0.2*((L15-L14)*3+2)+0.2*L46*((L15-L10)*0.6+3)+L52*0.2*2,0)</f>
        <v>28</v>
      </c>
      <c r="M67" t="s">
        <v>63</v>
      </c>
    </row>
    <row r="68" spans="2:29" hidden="1" x14ac:dyDescent="0.25">
      <c r="B68" s="73" t="s">
        <v>69</v>
      </c>
      <c r="H68" s="92">
        <f>ROUNDUP((0.8*(H46+10)*20/1.6),0)</f>
        <v>240</v>
      </c>
      <c r="I68" t="s">
        <v>63</v>
      </c>
      <c r="J68" s="75">
        <f>ROUNDUP((0.8*(J46+10)*20/1.6),0)</f>
        <v>240</v>
      </c>
      <c r="K68" t="s">
        <v>63</v>
      </c>
      <c r="L68" s="98">
        <f>ROUNDUP((0.8*(L46+10)*20/1.6),0)</f>
        <v>240</v>
      </c>
      <c r="M68" t="s">
        <v>63</v>
      </c>
    </row>
    <row r="69" spans="2:29" hidden="1" x14ac:dyDescent="0.25">
      <c r="B69" s="73" t="s">
        <v>70</v>
      </c>
      <c r="H69" s="92">
        <f>ROUNDUP(((((H15-H10)*0.6+1+10)*(H15-H10)+(H15-H10)^2)*(H46+10+(H15-H10))+((H40+2)*(3*(H15-H14)+2))*0.3),0)</f>
        <v>994</v>
      </c>
      <c r="I69" t="s">
        <v>63</v>
      </c>
      <c r="J69" s="75">
        <f>ROUNDUP(((((J15-J10)*0.6+1+10)*(J15-J10)+(J15-J10)^2)*(J46+10+(J15-J10))+((J40+2)*(3*(J15-J14)+2))*0.3),0)</f>
        <v>994</v>
      </c>
      <c r="K69" t="s">
        <v>63</v>
      </c>
      <c r="L69" s="98">
        <f>ROUNDUP(((((L15-L10)*0.6+1+10)*(L15-L10)+(L15-L10)^2)*(L46+10+(L15-L10))+((L40+2)*(3*(L15-L14)+2))*0.3),0)</f>
        <v>994</v>
      </c>
      <c r="M69" t="s">
        <v>63</v>
      </c>
    </row>
    <row r="70" spans="2:29" hidden="1" x14ac:dyDescent="0.25">
      <c r="B70" s="73" t="s">
        <v>72</v>
      </c>
      <c r="H70" s="92">
        <f>ROUNDUP(H69/10,0)</f>
        <v>100</v>
      </c>
      <c r="I70" t="s">
        <v>63</v>
      </c>
      <c r="J70" s="75">
        <f>ROUNDUP(J69/10,0)</f>
        <v>100</v>
      </c>
      <c r="K70" t="s">
        <v>63</v>
      </c>
      <c r="L70" s="98">
        <f>ROUNDUP(L69/10,0)</f>
        <v>100</v>
      </c>
      <c r="M70" t="s">
        <v>63</v>
      </c>
    </row>
    <row r="71" spans="2:29" hidden="1" x14ac:dyDescent="0.25">
      <c r="B71" s="73" t="s">
        <v>80</v>
      </c>
      <c r="H71" s="92">
        <f>ROUNDUP((H40*((H15-H14)*3+3)+(H46+3)*(3+(H15-H10)*0.6)+(H52+6)*3),0)</f>
        <v>218</v>
      </c>
      <c r="I71" t="s">
        <v>50</v>
      </c>
      <c r="J71" s="75">
        <f>ROUNDUP((J40*((J15-J14)*3+3)+(J46+3)*(3+(J15-J10)*0.6)+(J52+6)*3),0)</f>
        <v>218</v>
      </c>
      <c r="K71" t="s">
        <v>50</v>
      </c>
      <c r="L71" s="98">
        <f>ROUNDUP((L40*((L15-L14)*3+3)+(L46+3)*(3+(L15-L10)*0.6)+(L52+6)*3),0)</f>
        <v>218</v>
      </c>
      <c r="M71" t="s">
        <v>50</v>
      </c>
    </row>
    <row r="72" spans="2:29" hidden="1" x14ac:dyDescent="0.25">
      <c r="H72" s="92"/>
      <c r="J72" s="75"/>
      <c r="L72" s="98"/>
    </row>
    <row r="73" spans="2:29" hidden="1" x14ac:dyDescent="0.25">
      <c r="B73" s="73" t="s">
        <v>77</v>
      </c>
      <c r="H73" s="92"/>
      <c r="J73" s="75"/>
      <c r="L73" s="98"/>
    </row>
    <row r="74" spans="2:29" hidden="1" x14ac:dyDescent="0.25">
      <c r="B74" s="73" t="s">
        <v>78</v>
      </c>
      <c r="D74" t="s">
        <v>81</v>
      </c>
      <c r="H74" s="92">
        <f>ROUNDUP((H40*H41+H46*H47),0)</f>
        <v>70</v>
      </c>
      <c r="I74" t="s">
        <v>63</v>
      </c>
      <c r="J74" s="75">
        <f>ROUNDUP((J40*J41+J46*J47),0)</f>
        <v>70</v>
      </c>
      <c r="K74" t="s">
        <v>63</v>
      </c>
      <c r="L74" s="98">
        <f>ROUNDUP((L40*L41+L46*L47),0)</f>
        <v>70</v>
      </c>
      <c r="M74" t="s">
        <v>63</v>
      </c>
    </row>
    <row r="75" spans="2:29" hidden="1" x14ac:dyDescent="0.25">
      <c r="D75" t="s">
        <v>82</v>
      </c>
      <c r="H75" s="92">
        <f>ROUNDUP((H52*H53+H58),0)</f>
        <v>126</v>
      </c>
      <c r="J75" s="75">
        <f>ROUNDUP((J52*J53+J58),0)</f>
        <v>126</v>
      </c>
      <c r="L75" s="98">
        <f>ROUNDUP((L52*L53+L58),0)</f>
        <v>126</v>
      </c>
    </row>
    <row r="76" spans="2:29" hidden="1" x14ac:dyDescent="0.25">
      <c r="D76" t="s">
        <v>83</v>
      </c>
      <c r="H76" s="92">
        <f>H67</f>
        <v>28</v>
      </c>
      <c r="J76" s="75">
        <f>J67</f>
        <v>28</v>
      </c>
      <c r="L76" s="98">
        <f>L67</f>
        <v>28</v>
      </c>
      <c r="AC76" s="3"/>
    </row>
    <row r="77" spans="2:29" hidden="1" x14ac:dyDescent="0.25">
      <c r="B77" s="73" t="s">
        <v>79</v>
      </c>
      <c r="H77" s="92">
        <f>ROUNDUP((H43+H49+H55+H59)/1000,1)</f>
        <v>5.8999999999999995</v>
      </c>
      <c r="I77" t="s">
        <v>16</v>
      </c>
      <c r="J77" s="75">
        <f>ROUNDUP((J43+J49+J55+J59)/1000,1)</f>
        <v>5.8999999999999995</v>
      </c>
      <c r="K77" t="s">
        <v>16</v>
      </c>
      <c r="L77" s="98">
        <f>ROUNDUP((L43+L49+L55+L59)/1000,1)</f>
        <v>5.8999999999999995</v>
      </c>
      <c r="M77" t="s">
        <v>16</v>
      </c>
    </row>
    <row r="78" spans="2:29" hidden="1" x14ac:dyDescent="0.25">
      <c r="B78" s="73" t="s">
        <v>14</v>
      </c>
      <c r="H78" s="92">
        <f>ROUNDUP(((H40*H42+H46*H48+H52*H54)*1.1+H60),0)</f>
        <v>383</v>
      </c>
      <c r="I78" t="s">
        <v>50</v>
      </c>
      <c r="J78" s="75">
        <f>ROUNDUP(((J40*J42+J46*J48+J52*J54)*1.1+J60),0)</f>
        <v>383</v>
      </c>
      <c r="K78" t="s">
        <v>50</v>
      </c>
      <c r="L78" s="98">
        <f>ROUNDUP(((L40*L42+L46*L48+L52*L54)*1.1+L60),0)</f>
        <v>383</v>
      </c>
      <c r="M78" t="s">
        <v>50</v>
      </c>
    </row>
    <row r="79" spans="2:29" hidden="1" x14ac:dyDescent="0.25"/>
    <row r="80" spans="2:29" hidden="1" x14ac:dyDescent="0.25"/>
    <row r="81" spans="3:10" hidden="1" x14ac:dyDescent="0.25"/>
    <row r="82" spans="3:10" hidden="1" x14ac:dyDescent="0.25">
      <c r="C82" s="101" t="s">
        <v>0</v>
      </c>
      <c r="D82" s="92"/>
      <c r="E82" s="92"/>
      <c r="F82" s="92"/>
      <c r="G82" s="92"/>
      <c r="H82" s="92"/>
      <c r="I82" s="93" t="s">
        <v>93</v>
      </c>
      <c r="J82" s="2"/>
    </row>
    <row r="83" spans="3:10" hidden="1" x14ac:dyDescent="0.25">
      <c r="I83" s="4"/>
      <c r="J83" s="1"/>
    </row>
    <row r="84" spans="3:10" hidden="1" x14ac:dyDescent="0.25">
      <c r="C84" s="5" t="s">
        <v>1</v>
      </c>
      <c r="D84" s="6" t="s">
        <v>2</v>
      </c>
      <c r="E84" s="7" t="s">
        <v>3</v>
      </c>
      <c r="F84" s="8" t="s">
        <v>4</v>
      </c>
      <c r="G84" s="7" t="s">
        <v>5</v>
      </c>
      <c r="H84" s="8" t="s">
        <v>6</v>
      </c>
      <c r="I84" s="9" t="s">
        <v>7</v>
      </c>
      <c r="J84" s="3"/>
    </row>
    <row r="85" spans="3:10" hidden="1" x14ac:dyDescent="0.25">
      <c r="C85" s="10"/>
      <c r="D85" s="11"/>
      <c r="E85" s="11"/>
      <c r="F85" s="12"/>
      <c r="G85" s="11"/>
      <c r="H85" s="12"/>
      <c r="I85" s="13"/>
      <c r="J85" s="3"/>
    </row>
    <row r="86" spans="3:10" hidden="1" x14ac:dyDescent="0.25">
      <c r="C86" s="14">
        <v>1</v>
      </c>
      <c r="D86" s="15">
        <v>1</v>
      </c>
      <c r="E86" s="16" t="s">
        <v>8</v>
      </c>
      <c r="F86" s="8" t="s">
        <v>9</v>
      </c>
      <c r="G86" s="17" t="s">
        <v>9</v>
      </c>
      <c r="H86" s="8" t="s">
        <v>9</v>
      </c>
      <c r="I86" s="9" t="s">
        <v>9</v>
      </c>
      <c r="J86" s="3"/>
    </row>
    <row r="87" spans="3:10" hidden="1" x14ac:dyDescent="0.25">
      <c r="C87" s="18"/>
      <c r="D87" s="19"/>
      <c r="E87" s="7"/>
      <c r="F87" s="8"/>
      <c r="G87" s="17"/>
      <c r="H87" s="8"/>
      <c r="I87" s="9"/>
      <c r="J87" s="3"/>
    </row>
    <row r="88" spans="3:10" hidden="1" x14ac:dyDescent="0.25">
      <c r="C88" s="14" t="s">
        <v>9</v>
      </c>
      <c r="D88" s="76">
        <v>1.1000000000000001</v>
      </c>
      <c r="E88" s="20" t="s">
        <v>10</v>
      </c>
      <c r="F88" s="7" t="s">
        <v>11</v>
      </c>
      <c r="G88" s="21">
        <v>100</v>
      </c>
      <c r="H88" s="22">
        <f>$H$69</f>
        <v>994</v>
      </c>
      <c r="I88" s="9">
        <f>+H88*G88</f>
        <v>99400</v>
      </c>
      <c r="J88" s="3"/>
    </row>
    <row r="89" spans="3:10" hidden="1" x14ac:dyDescent="0.25">
      <c r="C89" s="6"/>
      <c r="D89" s="77">
        <v>1.2</v>
      </c>
      <c r="E89" s="24" t="s">
        <v>12</v>
      </c>
      <c r="F89" s="7" t="s">
        <v>13</v>
      </c>
      <c r="G89" s="25">
        <v>175</v>
      </c>
      <c r="H89" s="26">
        <f>$H$71</f>
        <v>218</v>
      </c>
      <c r="I89" s="9">
        <f t="shared" ref="I89:I103" si="0">+H89*G89</f>
        <v>38150</v>
      </c>
      <c r="J89" s="3"/>
    </row>
    <row r="90" spans="3:10" hidden="1" x14ac:dyDescent="0.25">
      <c r="C90" s="7"/>
      <c r="D90" s="27">
        <v>1.3</v>
      </c>
      <c r="E90" s="7" t="s">
        <v>14</v>
      </c>
      <c r="F90" s="28" t="s">
        <v>13</v>
      </c>
      <c r="G90" s="21">
        <v>975</v>
      </c>
      <c r="H90" s="22">
        <f>$H$78</f>
        <v>383</v>
      </c>
      <c r="I90" s="9">
        <f t="shared" si="0"/>
        <v>373425</v>
      </c>
      <c r="J90" s="3"/>
    </row>
    <row r="91" spans="3:10" hidden="1" x14ac:dyDescent="0.25">
      <c r="C91" s="7"/>
      <c r="D91" s="27">
        <v>1.4</v>
      </c>
      <c r="E91" s="7" t="s">
        <v>15</v>
      </c>
      <c r="F91" s="8" t="s">
        <v>16</v>
      </c>
      <c r="G91" s="21">
        <v>16500</v>
      </c>
      <c r="H91" s="29">
        <f>$H$77</f>
        <v>5.8999999999999995</v>
      </c>
      <c r="I91" s="9">
        <f t="shared" si="0"/>
        <v>97349.999999999985</v>
      </c>
      <c r="J91" s="3"/>
    </row>
    <row r="92" spans="3:10" hidden="1" x14ac:dyDescent="0.25">
      <c r="C92" s="30"/>
      <c r="D92" s="77">
        <v>1.5</v>
      </c>
      <c r="E92" s="30" t="s">
        <v>17</v>
      </c>
      <c r="F92" s="7" t="s">
        <v>11</v>
      </c>
      <c r="G92" s="25">
        <v>2800</v>
      </c>
      <c r="H92" s="26">
        <f>$H$76</f>
        <v>28</v>
      </c>
      <c r="I92" s="9">
        <f t="shared" si="0"/>
        <v>78400</v>
      </c>
      <c r="J92" s="3"/>
    </row>
    <row r="93" spans="3:10" hidden="1" x14ac:dyDescent="0.25">
      <c r="C93" s="7"/>
      <c r="D93" s="27">
        <v>1.6</v>
      </c>
      <c r="E93" s="7" t="s">
        <v>18</v>
      </c>
      <c r="F93" s="7" t="s">
        <v>11</v>
      </c>
      <c r="G93" s="21">
        <v>2800</v>
      </c>
      <c r="H93" s="22">
        <f>$H$74</f>
        <v>70</v>
      </c>
      <c r="I93" s="9">
        <f t="shared" si="0"/>
        <v>196000</v>
      </c>
      <c r="J93" s="3"/>
    </row>
    <row r="94" spans="3:10" hidden="1" x14ac:dyDescent="0.25">
      <c r="C94" s="30"/>
      <c r="D94" s="19">
        <v>1.7</v>
      </c>
      <c r="E94" s="7" t="s">
        <v>19</v>
      </c>
      <c r="F94" s="7" t="s">
        <v>11</v>
      </c>
      <c r="G94" s="21">
        <v>2800</v>
      </c>
      <c r="H94" s="22">
        <f>$H$75</f>
        <v>126</v>
      </c>
      <c r="I94" s="9">
        <f t="shared" si="0"/>
        <v>352800</v>
      </c>
      <c r="J94" s="3"/>
    </row>
    <row r="95" spans="3:10" hidden="1" x14ac:dyDescent="0.25">
      <c r="C95" s="14"/>
      <c r="D95" s="23">
        <v>1.8</v>
      </c>
      <c r="E95" s="7" t="s">
        <v>20</v>
      </c>
      <c r="F95" s="7" t="s">
        <v>11</v>
      </c>
      <c r="G95" s="21">
        <v>1500</v>
      </c>
      <c r="H95" s="29">
        <v>0</v>
      </c>
      <c r="I95" s="9">
        <f t="shared" si="0"/>
        <v>0</v>
      </c>
      <c r="J95" s="3"/>
    </row>
    <row r="96" spans="3:10" hidden="1" x14ac:dyDescent="0.25">
      <c r="C96" s="18"/>
      <c r="D96" s="19"/>
      <c r="E96" s="30"/>
      <c r="F96" s="31"/>
      <c r="G96" s="25"/>
      <c r="H96" s="26"/>
      <c r="I96" s="9" t="s">
        <v>9</v>
      </c>
      <c r="J96" s="3"/>
    </row>
    <row r="97" spans="3:10" hidden="1" x14ac:dyDescent="0.25">
      <c r="C97" s="14">
        <v>2</v>
      </c>
      <c r="D97" s="15">
        <v>2</v>
      </c>
      <c r="E97" s="16" t="s">
        <v>21</v>
      </c>
      <c r="F97" s="8"/>
      <c r="G97" s="21"/>
      <c r="H97" s="22"/>
      <c r="I97" s="9" t="s">
        <v>9</v>
      </c>
      <c r="J97" s="1"/>
    </row>
    <row r="98" spans="3:10" hidden="1" x14ac:dyDescent="0.25">
      <c r="C98" s="18"/>
      <c r="D98" s="19"/>
      <c r="E98" s="30"/>
      <c r="F98" s="31"/>
      <c r="G98" s="25"/>
      <c r="H98" s="26"/>
      <c r="I98" s="9" t="s">
        <v>9</v>
      </c>
      <c r="J98" s="3"/>
    </row>
    <row r="99" spans="3:10" hidden="1" x14ac:dyDescent="0.25">
      <c r="C99" s="14" t="s">
        <v>9</v>
      </c>
      <c r="D99" s="23">
        <v>2.1</v>
      </c>
      <c r="E99" s="7" t="s">
        <v>22</v>
      </c>
      <c r="F99" s="7" t="s">
        <v>11</v>
      </c>
      <c r="G99" s="21">
        <v>600</v>
      </c>
      <c r="H99" s="22"/>
      <c r="I99" s="9">
        <f t="shared" si="0"/>
        <v>0</v>
      </c>
      <c r="J99" s="3"/>
    </row>
    <row r="100" spans="3:10" hidden="1" x14ac:dyDescent="0.25">
      <c r="C100" s="18" t="s">
        <v>9</v>
      </c>
      <c r="D100" s="78">
        <v>2.2000000000000002</v>
      </c>
      <c r="E100" s="7" t="s">
        <v>23</v>
      </c>
      <c r="F100" s="7" t="s">
        <v>11</v>
      </c>
      <c r="G100" s="21">
        <v>150</v>
      </c>
      <c r="H100" s="22">
        <f>$H$70</f>
        <v>100</v>
      </c>
      <c r="I100" s="9">
        <f t="shared" si="0"/>
        <v>15000</v>
      </c>
      <c r="J100" s="3"/>
    </row>
    <row r="101" spans="3:10" hidden="1" x14ac:dyDescent="0.25">
      <c r="C101" s="18"/>
      <c r="D101" s="78">
        <v>2.2999999999999998</v>
      </c>
      <c r="E101" s="7" t="s">
        <v>24</v>
      </c>
      <c r="F101" s="7" t="s">
        <v>11</v>
      </c>
      <c r="G101" s="21">
        <v>1350</v>
      </c>
      <c r="H101" s="22">
        <f>$H$68</f>
        <v>240</v>
      </c>
      <c r="I101" s="9">
        <f t="shared" si="0"/>
        <v>324000</v>
      </c>
      <c r="J101" s="3"/>
    </row>
    <row r="102" spans="3:10" hidden="1" x14ac:dyDescent="0.25">
      <c r="C102" s="18" t="s">
        <v>9</v>
      </c>
      <c r="D102" s="19"/>
      <c r="E102" s="7"/>
      <c r="F102" s="8"/>
      <c r="G102" s="21"/>
      <c r="H102" s="22"/>
      <c r="I102" s="9" t="s">
        <v>9</v>
      </c>
      <c r="J102" s="3"/>
    </row>
    <row r="103" spans="3:10" hidden="1" x14ac:dyDescent="0.25">
      <c r="C103" s="14">
        <v>3</v>
      </c>
      <c r="D103" s="15">
        <v>3</v>
      </c>
      <c r="E103" s="32" t="s">
        <v>25</v>
      </c>
      <c r="F103" s="31" t="s">
        <v>26</v>
      </c>
      <c r="G103" s="25">
        <v>175</v>
      </c>
      <c r="H103" s="26">
        <v>2500</v>
      </c>
      <c r="I103" s="9">
        <f t="shared" si="0"/>
        <v>437500</v>
      </c>
      <c r="J103" s="3"/>
    </row>
    <row r="104" spans="3:10" hidden="1" x14ac:dyDescent="0.25">
      <c r="C104" s="18"/>
      <c r="D104" s="19"/>
      <c r="E104" s="7"/>
      <c r="F104" s="8"/>
      <c r="G104" s="17"/>
      <c r="H104" s="8"/>
      <c r="I104" s="9" t="s">
        <v>9</v>
      </c>
      <c r="J104" s="3"/>
    </row>
    <row r="105" spans="3:10" hidden="1" x14ac:dyDescent="0.25">
      <c r="C105" s="33"/>
      <c r="D105" s="34"/>
      <c r="E105" s="35" t="s">
        <v>27</v>
      </c>
      <c r="F105" s="36"/>
      <c r="G105" s="37"/>
      <c r="H105" s="36"/>
      <c r="I105" s="38">
        <f>SUM(I86:I104)</f>
        <v>2012025</v>
      </c>
      <c r="J105" s="3"/>
    </row>
    <row r="106" spans="3:10" hidden="1" x14ac:dyDescent="0.25">
      <c r="C106" s="18" t="s">
        <v>9</v>
      </c>
      <c r="D106" s="19" t="s">
        <v>9</v>
      </c>
      <c r="E106" s="16" t="s">
        <v>9</v>
      </c>
      <c r="F106" s="8" t="s">
        <v>9</v>
      </c>
      <c r="G106" s="17" t="s">
        <v>9</v>
      </c>
      <c r="H106" s="39" t="s">
        <v>9</v>
      </c>
      <c r="I106" s="9" t="s">
        <v>9</v>
      </c>
      <c r="J106" s="3"/>
    </row>
    <row r="107" spans="3:10" hidden="1" x14ac:dyDescent="0.25">
      <c r="C107" s="40">
        <v>4</v>
      </c>
      <c r="D107" s="41">
        <v>4</v>
      </c>
      <c r="E107" s="42" t="s">
        <v>28</v>
      </c>
      <c r="F107" s="43" t="s">
        <v>29</v>
      </c>
      <c r="G107" s="44">
        <f>+I105</f>
        <v>2012025</v>
      </c>
      <c r="H107" s="45">
        <v>4</v>
      </c>
      <c r="I107" s="9">
        <f>+G107*H107/100</f>
        <v>80481</v>
      </c>
      <c r="J107" s="3"/>
    </row>
    <row r="108" spans="3:10" hidden="1" x14ac:dyDescent="0.25">
      <c r="C108" s="18"/>
      <c r="D108" s="19"/>
      <c r="E108" s="16"/>
      <c r="F108" s="8"/>
      <c r="G108" s="17"/>
      <c r="H108" s="46"/>
      <c r="I108" s="9"/>
      <c r="J108" s="3"/>
    </row>
    <row r="109" spans="3:10" hidden="1" x14ac:dyDescent="0.25">
      <c r="C109" s="18">
        <v>5</v>
      </c>
      <c r="D109" s="19">
        <v>5</v>
      </c>
      <c r="E109" s="20" t="s">
        <v>30</v>
      </c>
      <c r="F109" s="8" t="s">
        <v>29</v>
      </c>
      <c r="G109" s="17">
        <f>+I105</f>
        <v>2012025</v>
      </c>
      <c r="H109" s="46">
        <v>10</v>
      </c>
      <c r="I109" s="9">
        <f>+G109*H109/100</f>
        <v>201202.5</v>
      </c>
      <c r="J109" s="3"/>
    </row>
    <row r="110" spans="3:10" hidden="1" x14ac:dyDescent="0.25">
      <c r="C110" s="18"/>
      <c r="D110" s="19"/>
      <c r="E110" s="16"/>
      <c r="F110" s="8"/>
      <c r="G110" s="17"/>
      <c r="H110" s="46" t="s">
        <v>9</v>
      </c>
      <c r="I110" s="9"/>
      <c r="J110" s="3"/>
    </row>
    <row r="111" spans="3:10" hidden="1" x14ac:dyDescent="0.25">
      <c r="C111" s="18">
        <v>6</v>
      </c>
      <c r="D111" s="19">
        <v>6</v>
      </c>
      <c r="E111" s="20" t="s">
        <v>31</v>
      </c>
      <c r="F111" s="8" t="s">
        <v>29</v>
      </c>
      <c r="G111" s="17">
        <f>+I105</f>
        <v>2012025</v>
      </c>
      <c r="H111" s="46">
        <v>5</v>
      </c>
      <c r="I111" s="9">
        <f>+G111*H111/100</f>
        <v>100601.25</v>
      </c>
      <c r="J111" s="3"/>
    </row>
    <row r="112" spans="3:10" hidden="1" x14ac:dyDescent="0.25">
      <c r="C112" s="40"/>
      <c r="D112" s="41"/>
      <c r="E112" s="47"/>
      <c r="F112" s="43"/>
      <c r="G112" s="44"/>
      <c r="H112" s="48" t="s">
        <v>9</v>
      </c>
      <c r="I112" s="9"/>
      <c r="J112" s="3"/>
    </row>
    <row r="113" spans="3:10" hidden="1" x14ac:dyDescent="0.25">
      <c r="C113" s="33" t="s">
        <v>9</v>
      </c>
      <c r="D113" s="34" t="s">
        <v>9</v>
      </c>
      <c r="E113" s="35" t="s">
        <v>32</v>
      </c>
      <c r="F113" s="36" t="s">
        <v>9</v>
      </c>
      <c r="G113" s="37" t="s">
        <v>9</v>
      </c>
      <c r="H113" s="36" t="s">
        <v>9</v>
      </c>
      <c r="I113" s="38">
        <f>SUM(I105:I111)</f>
        <v>2394309.75</v>
      </c>
      <c r="J113" s="3"/>
    </row>
    <row r="114" spans="3:10" hidden="1" x14ac:dyDescent="0.25">
      <c r="C114" s="14"/>
      <c r="D114" s="15"/>
      <c r="E114" s="32"/>
      <c r="F114" s="31"/>
      <c r="G114" s="49"/>
      <c r="H114" s="31"/>
      <c r="I114" s="50"/>
      <c r="J114" s="3"/>
    </row>
    <row r="115" spans="3:10" hidden="1" x14ac:dyDescent="0.25">
      <c r="C115" s="18">
        <v>7</v>
      </c>
      <c r="D115" s="19">
        <v>7</v>
      </c>
      <c r="E115" s="7" t="s">
        <v>33</v>
      </c>
      <c r="F115" s="8" t="s">
        <v>29</v>
      </c>
      <c r="G115" s="17">
        <f>+I113</f>
        <v>2394309.75</v>
      </c>
      <c r="H115" s="51">
        <v>5</v>
      </c>
      <c r="I115" s="9">
        <f>+G115*H115/100</f>
        <v>119715.4875</v>
      </c>
      <c r="J115" s="3"/>
    </row>
    <row r="116" spans="3:10" hidden="1" x14ac:dyDescent="0.25">
      <c r="C116" s="18"/>
      <c r="D116" s="19"/>
      <c r="E116" s="7"/>
      <c r="F116" s="8"/>
      <c r="G116" s="17"/>
      <c r="H116" s="8"/>
      <c r="I116" s="9"/>
      <c r="J116" s="3"/>
    </row>
    <row r="117" spans="3:10" hidden="1" x14ac:dyDescent="0.25">
      <c r="C117" s="52" t="s">
        <v>9</v>
      </c>
      <c r="D117" s="53" t="s">
        <v>9</v>
      </c>
      <c r="E117" s="54" t="s">
        <v>34</v>
      </c>
      <c r="F117" s="55" t="s">
        <v>9</v>
      </c>
      <c r="G117" s="56" t="s">
        <v>9</v>
      </c>
      <c r="H117" s="55" t="s">
        <v>9</v>
      </c>
      <c r="I117" s="57">
        <f>SUM(I113:I115)</f>
        <v>2514025.2374999998</v>
      </c>
      <c r="J117" s="3"/>
    </row>
    <row r="118" spans="3:10" hidden="1" x14ac:dyDescent="0.25">
      <c r="C118" s="18"/>
      <c r="D118" s="19"/>
      <c r="E118" s="7"/>
      <c r="F118" s="8"/>
      <c r="G118" s="17"/>
      <c r="H118" s="8"/>
      <c r="I118" s="9" t="s">
        <v>9</v>
      </c>
      <c r="J118" s="3"/>
    </row>
    <row r="119" spans="3:10" hidden="1" x14ac:dyDescent="0.25">
      <c r="C119" s="14">
        <v>8</v>
      </c>
      <c r="D119" s="15">
        <v>8</v>
      </c>
      <c r="E119" s="58" t="s">
        <v>35</v>
      </c>
      <c r="F119" s="31" t="s">
        <v>29</v>
      </c>
      <c r="G119" s="49">
        <f>+I117</f>
        <v>2514025.2374999998</v>
      </c>
      <c r="H119" s="59">
        <f>IF(SUM(H92:H95)&lt;=150,G130,IF(SUM(H92:H95)&lt;=500,G131,G132))</f>
        <v>35</v>
      </c>
      <c r="I119" s="60">
        <f>(+G119*H119/100)/((100-H119)/100)</f>
        <v>1353705.8971153845</v>
      </c>
      <c r="J119" s="3"/>
    </row>
    <row r="120" spans="3:10" hidden="1" x14ac:dyDescent="0.25">
      <c r="C120" s="18"/>
      <c r="D120" s="19"/>
      <c r="E120" s="20"/>
      <c r="F120" s="8"/>
      <c r="G120" s="17"/>
      <c r="H120" s="51"/>
      <c r="I120" s="9"/>
      <c r="J120" s="3"/>
    </row>
    <row r="121" spans="3:10" hidden="1" x14ac:dyDescent="0.25">
      <c r="C121" s="14">
        <v>9</v>
      </c>
      <c r="D121" s="15">
        <v>9</v>
      </c>
      <c r="E121" s="58" t="s">
        <v>36</v>
      </c>
      <c r="F121" s="31" t="s">
        <v>29</v>
      </c>
      <c r="G121" s="49">
        <f>+I117</f>
        <v>2514025.2374999998</v>
      </c>
      <c r="H121" s="59"/>
      <c r="I121" s="61">
        <f>+G121*H121/100</f>
        <v>0</v>
      </c>
      <c r="J121" s="3"/>
    </row>
    <row r="122" spans="3:10" hidden="1" x14ac:dyDescent="0.25">
      <c r="C122" s="18"/>
      <c r="D122" s="19"/>
      <c r="E122" s="20"/>
      <c r="F122" s="8"/>
      <c r="G122" s="17"/>
      <c r="H122" s="8"/>
      <c r="I122" s="9"/>
      <c r="J122" s="3"/>
    </row>
    <row r="123" spans="3:10" hidden="1" x14ac:dyDescent="0.25">
      <c r="C123" s="10"/>
      <c r="D123" s="62"/>
      <c r="E123" s="7"/>
      <c r="F123" s="12"/>
      <c r="G123" s="7"/>
      <c r="H123" s="8"/>
      <c r="I123" s="9"/>
      <c r="J123" s="3"/>
    </row>
    <row r="124" spans="3:10" hidden="1" x14ac:dyDescent="0.25">
      <c r="C124" s="63"/>
      <c r="D124" s="64"/>
      <c r="E124" s="54" t="s">
        <v>37</v>
      </c>
      <c r="F124" s="65"/>
      <c r="G124" s="64"/>
      <c r="H124" s="65"/>
      <c r="I124" s="66">
        <f>+I117+I119+I121</f>
        <v>3867731.134615384</v>
      </c>
      <c r="J124" s="3"/>
    </row>
    <row r="125" spans="3:10" hidden="1" x14ac:dyDescent="0.25">
      <c r="C125" s="10"/>
      <c r="D125" s="11"/>
      <c r="E125" s="7"/>
      <c r="F125" s="12"/>
      <c r="G125" s="11"/>
      <c r="H125" s="12"/>
      <c r="I125" s="13"/>
      <c r="J125" s="3"/>
    </row>
    <row r="126" spans="3:10" hidden="1" x14ac:dyDescent="0.25">
      <c r="I126" s="4"/>
      <c r="J126" s="3"/>
    </row>
    <row r="127" spans="3:10" hidden="1" x14ac:dyDescent="0.25">
      <c r="C127" t="s">
        <v>38</v>
      </c>
      <c r="I127" s="4"/>
      <c r="J127" s="3"/>
    </row>
    <row r="128" spans="3:10" hidden="1" x14ac:dyDescent="0.25">
      <c r="C128" t="s">
        <v>9</v>
      </c>
      <c r="I128" s="4"/>
      <c r="J128" s="3"/>
    </row>
    <row r="129" spans="3:15" hidden="1" x14ac:dyDescent="0.25">
      <c r="C129" t="s">
        <v>9</v>
      </c>
      <c r="E129" s="11" t="s">
        <v>39</v>
      </c>
      <c r="F129" s="10" t="s">
        <v>40</v>
      </c>
      <c r="G129" s="67"/>
      <c r="I129" s="4"/>
      <c r="J129" s="3"/>
    </row>
    <row r="130" spans="3:15" hidden="1" x14ac:dyDescent="0.25">
      <c r="E130" s="7" t="s">
        <v>41</v>
      </c>
      <c r="F130" s="68"/>
      <c r="G130" s="69">
        <v>40</v>
      </c>
      <c r="I130" s="4"/>
      <c r="J130" s="3"/>
    </row>
    <row r="131" spans="3:15" hidden="1" x14ac:dyDescent="0.25">
      <c r="E131" s="7" t="s">
        <v>42</v>
      </c>
      <c r="F131" s="10"/>
      <c r="G131" s="70">
        <v>35</v>
      </c>
      <c r="I131" s="4"/>
      <c r="J131" s="3"/>
    </row>
    <row r="132" spans="3:15" hidden="1" x14ac:dyDescent="0.25">
      <c r="E132" s="7" t="s">
        <v>43</v>
      </c>
      <c r="F132" s="71"/>
      <c r="G132" s="72">
        <v>30</v>
      </c>
      <c r="I132" s="4"/>
      <c r="J132" s="3"/>
    </row>
    <row r="133" spans="3:15" hidden="1" x14ac:dyDescent="0.25">
      <c r="I133" s="4"/>
      <c r="J133" s="3"/>
    </row>
    <row r="134" spans="3:15" hidden="1" x14ac:dyDescent="0.25">
      <c r="C134" t="s">
        <v>44</v>
      </c>
      <c r="I134" s="4"/>
      <c r="J134" s="3"/>
    </row>
    <row r="135" spans="3:15" hidden="1" x14ac:dyDescent="0.25">
      <c r="J135" s="3"/>
      <c r="O135" s="3"/>
    </row>
    <row r="136" spans="3:15" hidden="1" x14ac:dyDescent="0.25"/>
    <row r="137" spans="3:15" hidden="1" x14ac:dyDescent="0.25"/>
    <row r="138" spans="3:15" hidden="1" x14ac:dyDescent="0.25"/>
    <row r="139" spans="3:15" hidden="1" x14ac:dyDescent="0.25">
      <c r="C139" s="97" t="s">
        <v>0</v>
      </c>
      <c r="D139" s="75"/>
      <c r="E139" s="75"/>
      <c r="F139" s="75"/>
      <c r="G139" s="75"/>
      <c r="H139" s="75"/>
      <c r="I139" s="91" t="s">
        <v>94</v>
      </c>
    </row>
    <row r="140" spans="3:15" hidden="1" x14ac:dyDescent="0.25">
      <c r="I140" s="4"/>
    </row>
    <row r="141" spans="3:15" hidden="1" x14ac:dyDescent="0.25">
      <c r="C141" s="5" t="s">
        <v>1</v>
      </c>
      <c r="D141" s="6" t="s">
        <v>2</v>
      </c>
      <c r="E141" s="7" t="s">
        <v>3</v>
      </c>
      <c r="F141" s="8" t="s">
        <v>4</v>
      </c>
      <c r="G141" s="7" t="s">
        <v>5</v>
      </c>
      <c r="H141" s="8" t="s">
        <v>6</v>
      </c>
      <c r="I141" s="9" t="s">
        <v>7</v>
      </c>
    </row>
    <row r="142" spans="3:15" hidden="1" x14ac:dyDescent="0.25">
      <c r="C142" s="10"/>
      <c r="D142" s="11"/>
      <c r="E142" s="11"/>
      <c r="F142" s="12"/>
      <c r="G142" s="11"/>
      <c r="H142" s="12"/>
      <c r="I142" s="13"/>
    </row>
    <row r="143" spans="3:15" hidden="1" x14ac:dyDescent="0.25">
      <c r="C143" s="14">
        <v>1</v>
      </c>
      <c r="D143" s="15">
        <v>1</v>
      </c>
      <c r="E143" s="16" t="s">
        <v>8</v>
      </c>
      <c r="F143" s="8" t="s">
        <v>9</v>
      </c>
      <c r="G143" s="17" t="s">
        <v>9</v>
      </c>
      <c r="H143" s="8" t="s">
        <v>9</v>
      </c>
      <c r="I143" s="9" t="s">
        <v>9</v>
      </c>
    </row>
    <row r="144" spans="3:15" hidden="1" x14ac:dyDescent="0.25">
      <c r="C144" s="18"/>
      <c r="D144" s="19"/>
      <c r="E144" s="7"/>
      <c r="F144" s="8"/>
      <c r="G144" s="17"/>
      <c r="H144" s="8"/>
      <c r="I144" s="9"/>
    </row>
    <row r="145" spans="3:9" hidden="1" x14ac:dyDescent="0.25">
      <c r="C145" s="14" t="s">
        <v>9</v>
      </c>
      <c r="D145" s="76">
        <v>1.1000000000000001</v>
      </c>
      <c r="E145" s="20" t="s">
        <v>10</v>
      </c>
      <c r="F145" s="7" t="s">
        <v>11</v>
      </c>
      <c r="G145" s="21">
        <v>100</v>
      </c>
      <c r="H145" s="22">
        <f>$J$69</f>
        <v>994</v>
      </c>
      <c r="I145" s="9">
        <f>+H145*G145</f>
        <v>99400</v>
      </c>
    </row>
    <row r="146" spans="3:9" hidden="1" x14ac:dyDescent="0.25">
      <c r="C146" s="6"/>
      <c r="D146" s="77">
        <v>1.2</v>
      </c>
      <c r="E146" s="24" t="s">
        <v>12</v>
      </c>
      <c r="F146" s="7" t="s">
        <v>13</v>
      </c>
      <c r="G146" s="25">
        <v>175</v>
      </c>
      <c r="H146" s="26">
        <f>$J$71</f>
        <v>218</v>
      </c>
      <c r="I146" s="9">
        <f t="shared" ref="I146:I152" si="1">+H146*G146</f>
        <v>38150</v>
      </c>
    </row>
    <row r="147" spans="3:9" hidden="1" x14ac:dyDescent="0.25">
      <c r="C147" s="7"/>
      <c r="D147" s="27">
        <v>1.3</v>
      </c>
      <c r="E147" s="7" t="s">
        <v>14</v>
      </c>
      <c r="F147" s="28" t="s">
        <v>13</v>
      </c>
      <c r="G147" s="21">
        <v>975</v>
      </c>
      <c r="H147" s="22">
        <f>$J$78</f>
        <v>383</v>
      </c>
      <c r="I147" s="9">
        <f t="shared" si="1"/>
        <v>373425</v>
      </c>
    </row>
    <row r="148" spans="3:9" hidden="1" x14ac:dyDescent="0.25">
      <c r="C148" s="7"/>
      <c r="D148" s="27">
        <v>1.4</v>
      </c>
      <c r="E148" s="7" t="s">
        <v>15</v>
      </c>
      <c r="F148" s="8" t="s">
        <v>16</v>
      </c>
      <c r="G148" s="21">
        <v>16500</v>
      </c>
      <c r="H148" s="29">
        <f>$J$77</f>
        <v>5.8999999999999995</v>
      </c>
      <c r="I148" s="9">
        <f t="shared" si="1"/>
        <v>97349.999999999985</v>
      </c>
    </row>
    <row r="149" spans="3:9" hidden="1" x14ac:dyDescent="0.25">
      <c r="C149" s="30"/>
      <c r="D149" s="77">
        <v>1.5</v>
      </c>
      <c r="E149" s="30" t="s">
        <v>17</v>
      </c>
      <c r="F149" s="7" t="s">
        <v>11</v>
      </c>
      <c r="G149" s="25">
        <v>2800</v>
      </c>
      <c r="H149" s="26">
        <f>$J$76</f>
        <v>28</v>
      </c>
      <c r="I149" s="9">
        <f t="shared" si="1"/>
        <v>78400</v>
      </c>
    </row>
    <row r="150" spans="3:9" hidden="1" x14ac:dyDescent="0.25">
      <c r="C150" s="7"/>
      <c r="D150" s="27">
        <v>1.6</v>
      </c>
      <c r="E150" s="7" t="s">
        <v>18</v>
      </c>
      <c r="F150" s="7" t="s">
        <v>11</v>
      </c>
      <c r="G150" s="21">
        <v>2800</v>
      </c>
      <c r="H150" s="22">
        <f>$J$74</f>
        <v>70</v>
      </c>
      <c r="I150" s="9">
        <f t="shared" si="1"/>
        <v>196000</v>
      </c>
    </row>
    <row r="151" spans="3:9" hidden="1" x14ac:dyDescent="0.25">
      <c r="C151" s="30"/>
      <c r="D151" s="19">
        <v>1.7</v>
      </c>
      <c r="E151" s="7" t="s">
        <v>19</v>
      </c>
      <c r="F151" s="7" t="s">
        <v>11</v>
      </c>
      <c r="G151" s="21">
        <v>2800</v>
      </c>
      <c r="H151" s="22">
        <f>$J$75</f>
        <v>126</v>
      </c>
      <c r="I151" s="9">
        <f t="shared" si="1"/>
        <v>352800</v>
      </c>
    </row>
    <row r="152" spans="3:9" hidden="1" x14ac:dyDescent="0.25">
      <c r="C152" s="14"/>
      <c r="D152" s="23">
        <v>1.8</v>
      </c>
      <c r="E152" s="7" t="s">
        <v>20</v>
      </c>
      <c r="F152" s="7" t="s">
        <v>11</v>
      </c>
      <c r="G152" s="21">
        <v>1500</v>
      </c>
      <c r="H152" s="29">
        <v>0</v>
      </c>
      <c r="I152" s="9">
        <f t="shared" si="1"/>
        <v>0</v>
      </c>
    </row>
    <row r="153" spans="3:9" hidden="1" x14ac:dyDescent="0.25">
      <c r="C153" s="18"/>
      <c r="D153" s="19"/>
      <c r="E153" s="30"/>
      <c r="F153" s="31"/>
      <c r="G153" s="25"/>
      <c r="H153" s="26"/>
      <c r="I153" s="9" t="s">
        <v>9</v>
      </c>
    </row>
    <row r="154" spans="3:9" hidden="1" x14ac:dyDescent="0.25">
      <c r="C154" s="14">
        <v>2</v>
      </c>
      <c r="D154" s="15">
        <v>2</v>
      </c>
      <c r="E154" s="16" t="s">
        <v>21</v>
      </c>
      <c r="F154" s="8"/>
      <c r="G154" s="21"/>
      <c r="H154" s="22"/>
      <c r="I154" s="9" t="s">
        <v>9</v>
      </c>
    </row>
    <row r="155" spans="3:9" hidden="1" x14ac:dyDescent="0.25">
      <c r="C155" s="18"/>
      <c r="D155" s="19"/>
      <c r="E155" s="30"/>
      <c r="F155" s="31"/>
      <c r="G155" s="25"/>
      <c r="H155" s="26"/>
      <c r="I155" s="9" t="s">
        <v>9</v>
      </c>
    </row>
    <row r="156" spans="3:9" hidden="1" x14ac:dyDescent="0.25">
      <c r="C156" s="14" t="s">
        <v>9</v>
      </c>
      <c r="D156" s="23">
        <v>2.1</v>
      </c>
      <c r="E156" s="7" t="s">
        <v>22</v>
      </c>
      <c r="F156" s="7" t="s">
        <v>11</v>
      </c>
      <c r="G156" s="21">
        <v>600</v>
      </c>
      <c r="H156" s="22"/>
      <c r="I156" s="9">
        <f t="shared" ref="I156:I158" si="2">+H156*G156</f>
        <v>0</v>
      </c>
    </row>
    <row r="157" spans="3:9" hidden="1" x14ac:dyDescent="0.25">
      <c r="C157" s="18" t="s">
        <v>9</v>
      </c>
      <c r="D157" s="78">
        <v>2.2000000000000002</v>
      </c>
      <c r="E157" s="7" t="s">
        <v>23</v>
      </c>
      <c r="F157" s="7" t="s">
        <v>11</v>
      </c>
      <c r="G157" s="21">
        <v>150</v>
      </c>
      <c r="H157" s="22">
        <f>$J$70</f>
        <v>100</v>
      </c>
      <c r="I157" s="9">
        <f t="shared" si="2"/>
        <v>15000</v>
      </c>
    </row>
    <row r="158" spans="3:9" hidden="1" x14ac:dyDescent="0.25">
      <c r="C158" s="18"/>
      <c r="D158" s="78">
        <v>2.2999999999999998</v>
      </c>
      <c r="E158" s="7" t="s">
        <v>24</v>
      </c>
      <c r="F158" s="7" t="s">
        <v>11</v>
      </c>
      <c r="G158" s="21">
        <v>1350</v>
      </c>
      <c r="H158" s="22">
        <f>$J$68</f>
        <v>240</v>
      </c>
      <c r="I158" s="9">
        <f t="shared" si="2"/>
        <v>324000</v>
      </c>
    </row>
    <row r="159" spans="3:9" hidden="1" x14ac:dyDescent="0.25">
      <c r="C159" s="18" t="s">
        <v>9</v>
      </c>
      <c r="D159" s="19"/>
      <c r="E159" s="7"/>
      <c r="F159" s="8"/>
      <c r="G159" s="21"/>
      <c r="H159" s="22"/>
      <c r="I159" s="9" t="s">
        <v>9</v>
      </c>
    </row>
    <row r="160" spans="3:9" hidden="1" x14ac:dyDescent="0.25">
      <c r="C160" s="14">
        <v>3</v>
      </c>
      <c r="D160" s="15">
        <v>3</v>
      </c>
      <c r="E160" s="32" t="s">
        <v>25</v>
      </c>
      <c r="F160" s="31" t="s">
        <v>26</v>
      </c>
      <c r="G160" s="25">
        <v>175</v>
      </c>
      <c r="H160" s="26">
        <v>2500</v>
      </c>
      <c r="I160" s="9">
        <f t="shared" ref="I160" si="3">+H160*G160</f>
        <v>437500</v>
      </c>
    </row>
    <row r="161" spans="3:9" hidden="1" x14ac:dyDescent="0.25">
      <c r="C161" s="18"/>
      <c r="D161" s="19"/>
      <c r="E161" s="7"/>
      <c r="F161" s="8"/>
      <c r="G161" s="17"/>
      <c r="H161" s="8"/>
      <c r="I161" s="9" t="s">
        <v>9</v>
      </c>
    </row>
    <row r="162" spans="3:9" hidden="1" x14ac:dyDescent="0.25">
      <c r="C162" s="33"/>
      <c r="D162" s="34"/>
      <c r="E162" s="35" t="s">
        <v>27</v>
      </c>
      <c r="F162" s="36"/>
      <c r="G162" s="37"/>
      <c r="H162" s="36"/>
      <c r="I162" s="38">
        <f>SUM(I143:I161)</f>
        <v>2012025</v>
      </c>
    </row>
    <row r="163" spans="3:9" hidden="1" x14ac:dyDescent="0.25">
      <c r="C163" s="18" t="s">
        <v>9</v>
      </c>
      <c r="D163" s="19" t="s">
        <v>9</v>
      </c>
      <c r="E163" s="16" t="s">
        <v>9</v>
      </c>
      <c r="F163" s="8" t="s">
        <v>9</v>
      </c>
      <c r="G163" s="17" t="s">
        <v>9</v>
      </c>
      <c r="H163" s="39" t="s">
        <v>9</v>
      </c>
      <c r="I163" s="9" t="s">
        <v>9</v>
      </c>
    </row>
    <row r="164" spans="3:9" hidden="1" x14ac:dyDescent="0.25">
      <c r="C164" s="40">
        <v>4</v>
      </c>
      <c r="D164" s="41">
        <v>4</v>
      </c>
      <c r="E164" s="42" t="s">
        <v>28</v>
      </c>
      <c r="F164" s="43" t="s">
        <v>29</v>
      </c>
      <c r="G164" s="44">
        <f>+I162</f>
        <v>2012025</v>
      </c>
      <c r="H164" s="45">
        <v>4</v>
      </c>
      <c r="I164" s="9">
        <f>+G164*H164/100</f>
        <v>80481</v>
      </c>
    </row>
    <row r="165" spans="3:9" hidden="1" x14ac:dyDescent="0.25">
      <c r="C165" s="18"/>
      <c r="D165" s="19"/>
      <c r="E165" s="16"/>
      <c r="F165" s="8"/>
      <c r="G165" s="17"/>
      <c r="H165" s="46"/>
      <c r="I165" s="9"/>
    </row>
    <row r="166" spans="3:9" hidden="1" x14ac:dyDescent="0.25">
      <c r="C166" s="18">
        <v>5</v>
      </c>
      <c r="D166" s="19">
        <v>5</v>
      </c>
      <c r="E166" s="20" t="s">
        <v>30</v>
      </c>
      <c r="F166" s="8" t="s">
        <v>29</v>
      </c>
      <c r="G166" s="17">
        <f>+I162</f>
        <v>2012025</v>
      </c>
      <c r="H166" s="46">
        <v>10</v>
      </c>
      <c r="I166" s="9">
        <f>+G166*H166/100</f>
        <v>201202.5</v>
      </c>
    </row>
    <row r="167" spans="3:9" hidden="1" x14ac:dyDescent="0.25">
      <c r="C167" s="18"/>
      <c r="D167" s="19"/>
      <c r="E167" s="16"/>
      <c r="F167" s="8"/>
      <c r="G167" s="17"/>
      <c r="H167" s="46" t="s">
        <v>9</v>
      </c>
      <c r="I167" s="9"/>
    </row>
    <row r="168" spans="3:9" hidden="1" x14ac:dyDescent="0.25">
      <c r="C168" s="18">
        <v>6</v>
      </c>
      <c r="D168" s="19">
        <v>6</v>
      </c>
      <c r="E168" s="20" t="s">
        <v>31</v>
      </c>
      <c r="F168" s="8" t="s">
        <v>29</v>
      </c>
      <c r="G168" s="17">
        <f>+I162</f>
        <v>2012025</v>
      </c>
      <c r="H168" s="46">
        <v>5</v>
      </c>
      <c r="I168" s="9">
        <f>+G168*H168/100</f>
        <v>100601.25</v>
      </c>
    </row>
    <row r="169" spans="3:9" hidden="1" x14ac:dyDescent="0.25">
      <c r="C169" s="40"/>
      <c r="D169" s="41"/>
      <c r="E169" s="47"/>
      <c r="F169" s="43"/>
      <c r="G169" s="44"/>
      <c r="H169" s="48" t="s">
        <v>9</v>
      </c>
      <c r="I169" s="9"/>
    </row>
    <row r="170" spans="3:9" hidden="1" x14ac:dyDescent="0.25">
      <c r="C170" s="33" t="s">
        <v>9</v>
      </c>
      <c r="D170" s="34" t="s">
        <v>9</v>
      </c>
      <c r="E170" s="35" t="s">
        <v>32</v>
      </c>
      <c r="F170" s="36" t="s">
        <v>9</v>
      </c>
      <c r="G170" s="37" t="s">
        <v>9</v>
      </c>
      <c r="H170" s="36" t="s">
        <v>9</v>
      </c>
      <c r="I170" s="38">
        <f>SUM(I162:I168)</f>
        <v>2394309.75</v>
      </c>
    </row>
    <row r="171" spans="3:9" hidden="1" x14ac:dyDescent="0.25">
      <c r="C171" s="14"/>
      <c r="D171" s="15"/>
      <c r="E171" s="32"/>
      <c r="F171" s="31"/>
      <c r="G171" s="49"/>
      <c r="H171" s="31"/>
      <c r="I171" s="50"/>
    </row>
    <row r="172" spans="3:9" hidden="1" x14ac:dyDescent="0.25">
      <c r="C172" s="18">
        <v>7</v>
      </c>
      <c r="D172" s="19">
        <v>7</v>
      </c>
      <c r="E172" s="7" t="s">
        <v>33</v>
      </c>
      <c r="F172" s="8" t="s">
        <v>29</v>
      </c>
      <c r="G172" s="17">
        <f>+I170</f>
        <v>2394309.75</v>
      </c>
      <c r="H172" s="51">
        <v>5</v>
      </c>
      <c r="I172" s="9">
        <f>+G172*H172/100</f>
        <v>119715.4875</v>
      </c>
    </row>
    <row r="173" spans="3:9" hidden="1" x14ac:dyDescent="0.25">
      <c r="C173" s="18"/>
      <c r="D173" s="19"/>
      <c r="E173" s="7"/>
      <c r="F173" s="8"/>
      <c r="G173" s="17"/>
      <c r="H173" s="8"/>
      <c r="I173" s="9"/>
    </row>
    <row r="174" spans="3:9" hidden="1" x14ac:dyDescent="0.25">
      <c r="C174" s="52" t="s">
        <v>9</v>
      </c>
      <c r="D174" s="53" t="s">
        <v>9</v>
      </c>
      <c r="E174" s="54" t="s">
        <v>34</v>
      </c>
      <c r="F174" s="55" t="s">
        <v>9</v>
      </c>
      <c r="G174" s="56" t="s">
        <v>9</v>
      </c>
      <c r="H174" s="55" t="s">
        <v>9</v>
      </c>
      <c r="I174" s="57">
        <f>SUM(I170:I172)</f>
        <v>2514025.2374999998</v>
      </c>
    </row>
    <row r="175" spans="3:9" hidden="1" x14ac:dyDescent="0.25">
      <c r="C175" s="18"/>
      <c r="D175" s="19"/>
      <c r="E175" s="7"/>
      <c r="F175" s="8"/>
      <c r="G175" s="17"/>
      <c r="H175" s="8"/>
      <c r="I175" s="9" t="s">
        <v>9</v>
      </c>
    </row>
    <row r="176" spans="3:9" hidden="1" x14ac:dyDescent="0.25">
      <c r="C176" s="14">
        <v>8</v>
      </c>
      <c r="D176" s="15">
        <v>8</v>
      </c>
      <c r="E176" s="58" t="s">
        <v>35</v>
      </c>
      <c r="F176" s="31" t="s">
        <v>29</v>
      </c>
      <c r="G176" s="49">
        <f>+I174</f>
        <v>2514025.2374999998</v>
      </c>
      <c r="H176" s="59">
        <f>IF(SUM(H149:H152)&lt;=150,G187,IF(SUM(H149:H152)&lt;=500,G188,G189))</f>
        <v>35</v>
      </c>
      <c r="I176" s="60">
        <f>(+G176*H176/100)/((100-H176)/100)</f>
        <v>1353705.8971153845</v>
      </c>
    </row>
    <row r="177" spans="3:9" hidden="1" x14ac:dyDescent="0.25">
      <c r="C177" s="18"/>
      <c r="D177" s="19"/>
      <c r="E177" s="20"/>
      <c r="F177" s="8"/>
      <c r="G177" s="17"/>
      <c r="H177" s="51"/>
      <c r="I177" s="9"/>
    </row>
    <row r="178" spans="3:9" hidden="1" x14ac:dyDescent="0.25">
      <c r="C178" s="14">
        <v>9</v>
      </c>
      <c r="D178" s="15">
        <v>9</v>
      </c>
      <c r="E178" s="58" t="s">
        <v>36</v>
      </c>
      <c r="F178" s="31" t="s">
        <v>29</v>
      </c>
      <c r="G178" s="49">
        <f>+I174</f>
        <v>2514025.2374999998</v>
      </c>
      <c r="H178" s="59"/>
      <c r="I178" s="61">
        <f>+G178*H178/100</f>
        <v>0</v>
      </c>
    </row>
    <row r="179" spans="3:9" hidden="1" x14ac:dyDescent="0.25">
      <c r="C179" s="18"/>
      <c r="D179" s="19"/>
      <c r="E179" s="20"/>
      <c r="F179" s="8"/>
      <c r="G179" s="17"/>
      <c r="H179" s="8"/>
      <c r="I179" s="9"/>
    </row>
    <row r="180" spans="3:9" hidden="1" x14ac:dyDescent="0.25">
      <c r="C180" s="10"/>
      <c r="D180" s="62"/>
      <c r="E180" s="7"/>
      <c r="F180" s="12"/>
      <c r="G180" s="7"/>
      <c r="H180" s="8"/>
      <c r="I180" s="9"/>
    </row>
    <row r="181" spans="3:9" hidden="1" x14ac:dyDescent="0.25">
      <c r="C181" s="63"/>
      <c r="D181" s="64"/>
      <c r="E181" s="54" t="s">
        <v>37</v>
      </c>
      <c r="F181" s="65"/>
      <c r="G181" s="64"/>
      <c r="H181" s="65"/>
      <c r="I181" s="66">
        <f>+I174+I176+I178</f>
        <v>3867731.134615384</v>
      </c>
    </row>
    <row r="182" spans="3:9" hidden="1" x14ac:dyDescent="0.25">
      <c r="C182" s="10"/>
      <c r="D182" s="11"/>
      <c r="E182" s="7"/>
      <c r="F182" s="12"/>
      <c r="G182" s="11"/>
      <c r="H182" s="12"/>
      <c r="I182" s="13"/>
    </row>
    <row r="183" spans="3:9" hidden="1" x14ac:dyDescent="0.25">
      <c r="I183" s="4"/>
    </row>
    <row r="184" spans="3:9" hidden="1" x14ac:dyDescent="0.25">
      <c r="C184" t="s">
        <v>38</v>
      </c>
      <c r="I184" s="4"/>
    </row>
    <row r="185" spans="3:9" hidden="1" x14ac:dyDescent="0.25">
      <c r="C185" t="s">
        <v>9</v>
      </c>
      <c r="I185" s="4"/>
    </row>
    <row r="186" spans="3:9" hidden="1" x14ac:dyDescent="0.25">
      <c r="C186" t="s">
        <v>9</v>
      </c>
      <c r="E186" s="11" t="s">
        <v>39</v>
      </c>
      <c r="F186" s="10" t="s">
        <v>40</v>
      </c>
      <c r="G186" s="67"/>
      <c r="I186" s="4"/>
    </row>
    <row r="187" spans="3:9" hidden="1" x14ac:dyDescent="0.25">
      <c r="E187" s="7" t="s">
        <v>41</v>
      </c>
      <c r="F187" s="68"/>
      <c r="G187" s="69">
        <v>40</v>
      </c>
      <c r="I187" s="4"/>
    </row>
    <row r="188" spans="3:9" hidden="1" x14ac:dyDescent="0.25">
      <c r="E188" s="7" t="s">
        <v>42</v>
      </c>
      <c r="F188" s="10"/>
      <c r="G188" s="70">
        <v>35</v>
      </c>
      <c r="I188" s="4"/>
    </row>
    <row r="189" spans="3:9" hidden="1" x14ac:dyDescent="0.25">
      <c r="E189" s="7" t="s">
        <v>43</v>
      </c>
      <c r="F189" s="71"/>
      <c r="G189" s="72">
        <v>30</v>
      </c>
      <c r="I189" s="4"/>
    </row>
    <row r="190" spans="3:9" hidden="1" x14ac:dyDescent="0.25">
      <c r="I190" s="4"/>
    </row>
    <row r="191" spans="3:9" hidden="1" x14ac:dyDescent="0.25">
      <c r="C191" t="s">
        <v>44</v>
      </c>
      <c r="I191" s="4"/>
    </row>
    <row r="192" spans="3:9" hidden="1" x14ac:dyDescent="0.25"/>
    <row r="193" spans="3:9" hidden="1" x14ac:dyDescent="0.25"/>
    <row r="194" spans="3:9" hidden="1" x14ac:dyDescent="0.25"/>
    <row r="195" spans="3:9" hidden="1" x14ac:dyDescent="0.25">
      <c r="C195" s="99" t="s">
        <v>0</v>
      </c>
      <c r="D195" s="98"/>
      <c r="E195" s="98"/>
      <c r="F195" s="98"/>
      <c r="G195" s="98"/>
      <c r="H195" s="98"/>
      <c r="I195" s="100" t="s">
        <v>95</v>
      </c>
    </row>
    <row r="196" spans="3:9" hidden="1" x14ac:dyDescent="0.25">
      <c r="I196" s="4"/>
    </row>
    <row r="197" spans="3:9" hidden="1" x14ac:dyDescent="0.25">
      <c r="C197" s="5" t="s">
        <v>1</v>
      </c>
      <c r="D197" s="6" t="s">
        <v>2</v>
      </c>
      <c r="E197" s="7" t="s">
        <v>3</v>
      </c>
      <c r="F197" s="8" t="s">
        <v>4</v>
      </c>
      <c r="G197" s="7" t="s">
        <v>5</v>
      </c>
      <c r="H197" s="8" t="s">
        <v>6</v>
      </c>
      <c r="I197" s="9" t="s">
        <v>7</v>
      </c>
    </row>
    <row r="198" spans="3:9" hidden="1" x14ac:dyDescent="0.25">
      <c r="C198" s="10"/>
      <c r="D198" s="11"/>
      <c r="E198" s="11"/>
      <c r="F198" s="12"/>
      <c r="G198" s="11"/>
      <c r="H198" s="12"/>
      <c r="I198" s="13"/>
    </row>
    <row r="199" spans="3:9" hidden="1" x14ac:dyDescent="0.25">
      <c r="C199" s="14">
        <v>1</v>
      </c>
      <c r="D199" s="15">
        <v>1</v>
      </c>
      <c r="E199" s="16" t="s">
        <v>8</v>
      </c>
      <c r="F199" s="8" t="s">
        <v>9</v>
      </c>
      <c r="G199" s="17" t="s">
        <v>9</v>
      </c>
      <c r="H199" s="8" t="s">
        <v>9</v>
      </c>
      <c r="I199" s="9" t="s">
        <v>9</v>
      </c>
    </row>
    <row r="200" spans="3:9" hidden="1" x14ac:dyDescent="0.25">
      <c r="C200" s="18"/>
      <c r="D200" s="19"/>
      <c r="E200" s="7"/>
      <c r="F200" s="8"/>
      <c r="G200" s="17"/>
      <c r="H200" s="8"/>
      <c r="I200" s="9"/>
    </row>
    <row r="201" spans="3:9" hidden="1" x14ac:dyDescent="0.25">
      <c r="C201" s="14" t="s">
        <v>9</v>
      </c>
      <c r="D201" s="76">
        <v>1.1000000000000001</v>
      </c>
      <c r="E201" s="20" t="s">
        <v>10</v>
      </c>
      <c r="F201" s="7" t="s">
        <v>11</v>
      </c>
      <c r="G201" s="21">
        <v>100</v>
      </c>
      <c r="H201" s="22">
        <f>$L$69</f>
        <v>994</v>
      </c>
      <c r="I201" s="9">
        <f>+H201*G201</f>
        <v>99400</v>
      </c>
    </row>
    <row r="202" spans="3:9" hidden="1" x14ac:dyDescent="0.25">
      <c r="C202" s="6"/>
      <c r="D202" s="77">
        <v>1.2</v>
      </c>
      <c r="E202" s="24" t="s">
        <v>12</v>
      </c>
      <c r="F202" s="7" t="s">
        <v>13</v>
      </c>
      <c r="G202" s="25">
        <v>175</v>
      </c>
      <c r="H202" s="26">
        <f>$L$71</f>
        <v>218</v>
      </c>
      <c r="I202" s="9">
        <f t="shared" ref="I202:I208" si="4">+H202*G202</f>
        <v>38150</v>
      </c>
    </row>
    <row r="203" spans="3:9" hidden="1" x14ac:dyDescent="0.25">
      <c r="C203" s="7"/>
      <c r="D203" s="27">
        <v>1.3</v>
      </c>
      <c r="E203" s="7" t="s">
        <v>14</v>
      </c>
      <c r="F203" s="28" t="s">
        <v>13</v>
      </c>
      <c r="G203" s="21">
        <v>975</v>
      </c>
      <c r="H203" s="22">
        <f>$L$78</f>
        <v>383</v>
      </c>
      <c r="I203" s="9">
        <f t="shared" si="4"/>
        <v>373425</v>
      </c>
    </row>
    <row r="204" spans="3:9" hidden="1" x14ac:dyDescent="0.25">
      <c r="C204" s="7"/>
      <c r="D204" s="27">
        <v>1.4</v>
      </c>
      <c r="E204" s="7" t="s">
        <v>15</v>
      </c>
      <c r="F204" s="8" t="s">
        <v>16</v>
      </c>
      <c r="G204" s="21">
        <v>16500</v>
      </c>
      <c r="H204" s="29">
        <f>$L$77</f>
        <v>5.8999999999999995</v>
      </c>
      <c r="I204" s="9">
        <f t="shared" si="4"/>
        <v>97349.999999999985</v>
      </c>
    </row>
    <row r="205" spans="3:9" hidden="1" x14ac:dyDescent="0.25">
      <c r="C205" s="30"/>
      <c r="D205" s="77">
        <v>1.5</v>
      </c>
      <c r="E205" s="30" t="s">
        <v>17</v>
      </c>
      <c r="F205" s="7" t="s">
        <v>11</v>
      </c>
      <c r="G205" s="25">
        <v>2800</v>
      </c>
      <c r="H205" s="26">
        <f>$L$76</f>
        <v>28</v>
      </c>
      <c r="I205" s="9">
        <f t="shared" si="4"/>
        <v>78400</v>
      </c>
    </row>
    <row r="206" spans="3:9" hidden="1" x14ac:dyDescent="0.25">
      <c r="C206" s="7"/>
      <c r="D206" s="27">
        <v>1.6</v>
      </c>
      <c r="E206" s="7" t="s">
        <v>18</v>
      </c>
      <c r="F206" s="7" t="s">
        <v>11</v>
      </c>
      <c r="G206" s="21">
        <v>2800</v>
      </c>
      <c r="H206" s="22">
        <f>$L$74</f>
        <v>70</v>
      </c>
      <c r="I206" s="9">
        <f t="shared" si="4"/>
        <v>196000</v>
      </c>
    </row>
    <row r="207" spans="3:9" hidden="1" x14ac:dyDescent="0.25">
      <c r="C207" s="30"/>
      <c r="D207" s="19">
        <v>1.7</v>
      </c>
      <c r="E207" s="7" t="s">
        <v>19</v>
      </c>
      <c r="F207" s="7" t="s">
        <v>11</v>
      </c>
      <c r="G207" s="21">
        <v>2800</v>
      </c>
      <c r="H207" s="22">
        <f>$L$75</f>
        <v>126</v>
      </c>
      <c r="I207" s="9">
        <f t="shared" si="4"/>
        <v>352800</v>
      </c>
    </row>
    <row r="208" spans="3:9" hidden="1" x14ac:dyDescent="0.25">
      <c r="C208" s="14"/>
      <c r="D208" s="23">
        <v>1.8</v>
      </c>
      <c r="E208" s="7" t="s">
        <v>20</v>
      </c>
      <c r="F208" s="7" t="s">
        <v>11</v>
      </c>
      <c r="G208" s="21">
        <v>1500</v>
      </c>
      <c r="H208" s="29">
        <v>0</v>
      </c>
      <c r="I208" s="9">
        <f t="shared" si="4"/>
        <v>0</v>
      </c>
    </row>
    <row r="209" spans="3:9" hidden="1" x14ac:dyDescent="0.25">
      <c r="C209" s="18"/>
      <c r="D209" s="19"/>
      <c r="E209" s="30"/>
      <c r="F209" s="31"/>
      <c r="G209" s="25"/>
      <c r="H209" s="26"/>
      <c r="I209" s="9" t="s">
        <v>9</v>
      </c>
    </row>
    <row r="210" spans="3:9" hidden="1" x14ac:dyDescent="0.25">
      <c r="C210" s="14">
        <v>2</v>
      </c>
      <c r="D210" s="15">
        <v>2</v>
      </c>
      <c r="E210" s="16" t="s">
        <v>21</v>
      </c>
      <c r="F210" s="8"/>
      <c r="G210" s="21"/>
      <c r="H210" s="22"/>
      <c r="I210" s="9" t="s">
        <v>9</v>
      </c>
    </row>
    <row r="211" spans="3:9" hidden="1" x14ac:dyDescent="0.25">
      <c r="C211" s="18"/>
      <c r="D211" s="19"/>
      <c r="E211" s="30"/>
      <c r="F211" s="31"/>
      <c r="G211" s="25"/>
      <c r="H211" s="26"/>
      <c r="I211" s="9" t="s">
        <v>9</v>
      </c>
    </row>
    <row r="212" spans="3:9" hidden="1" x14ac:dyDescent="0.25">
      <c r="C212" s="14" t="s">
        <v>9</v>
      </c>
      <c r="D212" s="23">
        <v>2.1</v>
      </c>
      <c r="E212" s="7" t="s">
        <v>22</v>
      </c>
      <c r="F212" s="7" t="s">
        <v>11</v>
      </c>
      <c r="G212" s="21">
        <v>600</v>
      </c>
      <c r="H212" s="22"/>
      <c r="I212" s="9">
        <f t="shared" ref="I212:I214" si="5">+H212*G212</f>
        <v>0</v>
      </c>
    </row>
    <row r="213" spans="3:9" hidden="1" x14ac:dyDescent="0.25">
      <c r="C213" s="18" t="s">
        <v>9</v>
      </c>
      <c r="D213" s="78">
        <v>2.2000000000000002</v>
      </c>
      <c r="E213" s="7" t="s">
        <v>23</v>
      </c>
      <c r="F213" s="7" t="s">
        <v>11</v>
      </c>
      <c r="G213" s="21">
        <v>150</v>
      </c>
      <c r="H213" s="22">
        <f>$L$70</f>
        <v>100</v>
      </c>
      <c r="I213" s="9">
        <f t="shared" si="5"/>
        <v>15000</v>
      </c>
    </row>
    <row r="214" spans="3:9" hidden="1" x14ac:dyDescent="0.25">
      <c r="C214" s="18"/>
      <c r="D214" s="78">
        <v>2.2999999999999998</v>
      </c>
      <c r="E214" s="7" t="s">
        <v>24</v>
      </c>
      <c r="F214" s="7" t="s">
        <v>11</v>
      </c>
      <c r="G214" s="21">
        <v>1350</v>
      </c>
      <c r="H214" s="22">
        <f>$L$68</f>
        <v>240</v>
      </c>
      <c r="I214" s="9">
        <f t="shared" si="5"/>
        <v>324000</v>
      </c>
    </row>
    <row r="215" spans="3:9" hidden="1" x14ac:dyDescent="0.25">
      <c r="C215" s="18" t="s">
        <v>9</v>
      </c>
      <c r="D215" s="19"/>
      <c r="E215" s="7"/>
      <c r="F215" s="8"/>
      <c r="G215" s="21"/>
      <c r="H215" s="22"/>
      <c r="I215" s="9" t="s">
        <v>9</v>
      </c>
    </row>
    <row r="216" spans="3:9" hidden="1" x14ac:dyDescent="0.25">
      <c r="C216" s="14">
        <v>3</v>
      </c>
      <c r="D216" s="15">
        <v>3</v>
      </c>
      <c r="E216" s="32" t="s">
        <v>25</v>
      </c>
      <c r="F216" s="31" t="s">
        <v>26</v>
      </c>
      <c r="G216" s="25">
        <v>175</v>
      </c>
      <c r="H216" s="26">
        <v>2500</v>
      </c>
      <c r="I216" s="9">
        <f t="shared" ref="I216" si="6">+H216*G216</f>
        <v>437500</v>
      </c>
    </row>
    <row r="217" spans="3:9" hidden="1" x14ac:dyDescent="0.25">
      <c r="C217" s="18"/>
      <c r="D217" s="19"/>
      <c r="E217" s="7"/>
      <c r="F217" s="8"/>
      <c r="G217" s="17"/>
      <c r="H217" s="8"/>
      <c r="I217" s="9" t="s">
        <v>9</v>
      </c>
    </row>
    <row r="218" spans="3:9" hidden="1" x14ac:dyDescent="0.25">
      <c r="C218" s="33"/>
      <c r="D218" s="34"/>
      <c r="E218" s="35" t="s">
        <v>27</v>
      </c>
      <c r="F218" s="36"/>
      <c r="G218" s="37"/>
      <c r="H218" s="36"/>
      <c r="I218" s="38">
        <f>SUM(I199:I217)</f>
        <v>2012025</v>
      </c>
    </row>
    <row r="219" spans="3:9" hidden="1" x14ac:dyDescent="0.25">
      <c r="C219" s="18" t="s">
        <v>9</v>
      </c>
      <c r="D219" s="19" t="s">
        <v>9</v>
      </c>
      <c r="E219" s="16" t="s">
        <v>9</v>
      </c>
      <c r="F219" s="8" t="s">
        <v>9</v>
      </c>
      <c r="G219" s="17" t="s">
        <v>9</v>
      </c>
      <c r="H219" s="39" t="s">
        <v>9</v>
      </c>
      <c r="I219" s="9" t="s">
        <v>9</v>
      </c>
    </row>
    <row r="220" spans="3:9" hidden="1" x14ac:dyDescent="0.25">
      <c r="C220" s="40">
        <v>4</v>
      </c>
      <c r="D220" s="41">
        <v>4</v>
      </c>
      <c r="E220" s="42" t="s">
        <v>28</v>
      </c>
      <c r="F220" s="43" t="s">
        <v>29</v>
      </c>
      <c r="G220" s="44">
        <f>+I218</f>
        <v>2012025</v>
      </c>
      <c r="H220" s="45">
        <v>4</v>
      </c>
      <c r="I220" s="9">
        <f>+G220*H220/100</f>
        <v>80481</v>
      </c>
    </row>
    <row r="221" spans="3:9" hidden="1" x14ac:dyDescent="0.25">
      <c r="C221" s="18"/>
      <c r="D221" s="19"/>
      <c r="E221" s="16"/>
      <c r="F221" s="8"/>
      <c r="G221" s="17"/>
      <c r="H221" s="46"/>
      <c r="I221" s="9"/>
    </row>
    <row r="222" spans="3:9" hidden="1" x14ac:dyDescent="0.25">
      <c r="C222" s="18">
        <v>5</v>
      </c>
      <c r="D222" s="19">
        <v>5</v>
      </c>
      <c r="E222" s="20" t="s">
        <v>30</v>
      </c>
      <c r="F222" s="8" t="s">
        <v>29</v>
      </c>
      <c r="G222" s="17">
        <f>+I218</f>
        <v>2012025</v>
      </c>
      <c r="H222" s="46">
        <v>10</v>
      </c>
      <c r="I222" s="9">
        <f>+G222*H222/100</f>
        <v>201202.5</v>
      </c>
    </row>
    <row r="223" spans="3:9" hidden="1" x14ac:dyDescent="0.25">
      <c r="C223" s="18"/>
      <c r="D223" s="19"/>
      <c r="E223" s="16"/>
      <c r="F223" s="8"/>
      <c r="G223" s="17"/>
      <c r="H223" s="46" t="s">
        <v>9</v>
      </c>
      <c r="I223" s="9"/>
    </row>
    <row r="224" spans="3:9" hidden="1" x14ac:dyDescent="0.25">
      <c r="C224" s="18">
        <v>6</v>
      </c>
      <c r="D224" s="19">
        <v>6</v>
      </c>
      <c r="E224" s="20" t="s">
        <v>31</v>
      </c>
      <c r="F224" s="8" t="s">
        <v>29</v>
      </c>
      <c r="G224" s="17">
        <f>+I218</f>
        <v>2012025</v>
      </c>
      <c r="H224" s="46">
        <v>5</v>
      </c>
      <c r="I224" s="9">
        <f>+G224*H224/100</f>
        <v>100601.25</v>
      </c>
    </row>
    <row r="225" spans="3:9" hidden="1" x14ac:dyDescent="0.25">
      <c r="C225" s="40"/>
      <c r="D225" s="41"/>
      <c r="E225" s="47"/>
      <c r="F225" s="43"/>
      <c r="G225" s="44"/>
      <c r="H225" s="48" t="s">
        <v>9</v>
      </c>
      <c r="I225" s="9"/>
    </row>
    <row r="226" spans="3:9" hidden="1" x14ac:dyDescent="0.25">
      <c r="C226" s="33" t="s">
        <v>9</v>
      </c>
      <c r="D226" s="34" t="s">
        <v>9</v>
      </c>
      <c r="E226" s="35" t="s">
        <v>32</v>
      </c>
      <c r="F226" s="36" t="s">
        <v>9</v>
      </c>
      <c r="G226" s="37" t="s">
        <v>9</v>
      </c>
      <c r="H226" s="36" t="s">
        <v>9</v>
      </c>
      <c r="I226" s="38">
        <f>SUM(I218:I224)</f>
        <v>2394309.75</v>
      </c>
    </row>
    <row r="227" spans="3:9" hidden="1" x14ac:dyDescent="0.25">
      <c r="C227" s="14"/>
      <c r="D227" s="15"/>
      <c r="E227" s="32"/>
      <c r="F227" s="31"/>
      <c r="G227" s="49"/>
      <c r="H227" s="31"/>
      <c r="I227" s="50"/>
    </row>
    <row r="228" spans="3:9" hidden="1" x14ac:dyDescent="0.25">
      <c r="C228" s="18">
        <v>7</v>
      </c>
      <c r="D228" s="19">
        <v>7</v>
      </c>
      <c r="E228" s="7" t="s">
        <v>33</v>
      </c>
      <c r="F228" s="8" t="s">
        <v>29</v>
      </c>
      <c r="G228" s="17">
        <f>+I226</f>
        <v>2394309.75</v>
      </c>
      <c r="H228" s="51">
        <v>5</v>
      </c>
      <c r="I228" s="9">
        <f>+G228*H228/100</f>
        <v>119715.4875</v>
      </c>
    </row>
    <row r="229" spans="3:9" hidden="1" x14ac:dyDescent="0.25">
      <c r="C229" s="18"/>
      <c r="D229" s="19"/>
      <c r="E229" s="7"/>
      <c r="F229" s="8"/>
      <c r="G229" s="17"/>
      <c r="H229" s="8"/>
      <c r="I229" s="9"/>
    </row>
    <row r="230" spans="3:9" hidden="1" x14ac:dyDescent="0.25">
      <c r="C230" s="52" t="s">
        <v>9</v>
      </c>
      <c r="D230" s="53" t="s">
        <v>9</v>
      </c>
      <c r="E230" s="54" t="s">
        <v>34</v>
      </c>
      <c r="F230" s="55" t="s">
        <v>9</v>
      </c>
      <c r="G230" s="56" t="s">
        <v>9</v>
      </c>
      <c r="H230" s="55" t="s">
        <v>9</v>
      </c>
      <c r="I230" s="57">
        <f>SUM(I226:I228)</f>
        <v>2514025.2374999998</v>
      </c>
    </row>
    <row r="231" spans="3:9" hidden="1" x14ac:dyDescent="0.25">
      <c r="C231" s="18"/>
      <c r="D231" s="19"/>
      <c r="E231" s="7"/>
      <c r="F231" s="8"/>
      <c r="G231" s="17"/>
      <c r="H231" s="8"/>
      <c r="I231" s="9" t="s">
        <v>9</v>
      </c>
    </row>
    <row r="232" spans="3:9" hidden="1" x14ac:dyDescent="0.25">
      <c r="C232" s="14">
        <v>8</v>
      </c>
      <c r="D232" s="15">
        <v>8</v>
      </c>
      <c r="E232" s="58" t="s">
        <v>35</v>
      </c>
      <c r="F232" s="31" t="s">
        <v>29</v>
      </c>
      <c r="G232" s="49">
        <f>+I230</f>
        <v>2514025.2374999998</v>
      </c>
      <c r="H232" s="59">
        <f>IF(SUM(H205:H208)&lt;=150,G243,IF(SUM(H205:H208)&lt;=500,G244,G245))</f>
        <v>35</v>
      </c>
      <c r="I232" s="60">
        <f>(+G232*H232/100)/((100-H232)/100)</f>
        <v>1353705.8971153845</v>
      </c>
    </row>
    <row r="233" spans="3:9" hidden="1" x14ac:dyDescent="0.25">
      <c r="C233" s="18"/>
      <c r="D233" s="19"/>
      <c r="E233" s="20"/>
      <c r="F233" s="8"/>
      <c r="G233" s="17"/>
      <c r="H233" s="51"/>
      <c r="I233" s="9"/>
    </row>
    <row r="234" spans="3:9" hidden="1" x14ac:dyDescent="0.25">
      <c r="C234" s="14">
        <v>9</v>
      </c>
      <c r="D234" s="15">
        <v>9</v>
      </c>
      <c r="E234" s="58" t="s">
        <v>36</v>
      </c>
      <c r="F234" s="31" t="s">
        <v>29</v>
      </c>
      <c r="G234" s="49">
        <f>+I230</f>
        <v>2514025.2374999998</v>
      </c>
      <c r="H234" s="59"/>
      <c r="I234" s="61">
        <f>+G234*H234/100</f>
        <v>0</v>
      </c>
    </row>
    <row r="235" spans="3:9" hidden="1" x14ac:dyDescent="0.25">
      <c r="C235" s="18"/>
      <c r="D235" s="19"/>
      <c r="E235" s="20"/>
      <c r="F235" s="8"/>
      <c r="G235" s="17"/>
      <c r="H235" s="8"/>
      <c r="I235" s="9"/>
    </row>
    <row r="236" spans="3:9" hidden="1" x14ac:dyDescent="0.25">
      <c r="C236" s="10"/>
      <c r="D236" s="62"/>
      <c r="E236" s="7"/>
      <c r="F236" s="12"/>
      <c r="G236" s="7"/>
      <c r="H236" s="8"/>
      <c r="I236" s="9"/>
    </row>
    <row r="237" spans="3:9" hidden="1" x14ac:dyDescent="0.25">
      <c r="C237" s="63"/>
      <c r="D237" s="64"/>
      <c r="E237" s="54" t="s">
        <v>37</v>
      </c>
      <c r="F237" s="65"/>
      <c r="G237" s="64"/>
      <c r="H237" s="65"/>
      <c r="I237" s="66">
        <f>+I230+I232+I234</f>
        <v>3867731.134615384</v>
      </c>
    </row>
    <row r="238" spans="3:9" hidden="1" x14ac:dyDescent="0.25">
      <c r="C238" s="10"/>
      <c r="D238" s="11"/>
      <c r="E238" s="7"/>
      <c r="F238" s="12"/>
      <c r="G238" s="11"/>
      <c r="H238" s="12"/>
      <c r="I238" s="13"/>
    </row>
    <row r="239" spans="3:9" hidden="1" x14ac:dyDescent="0.25">
      <c r="I239" s="4"/>
    </row>
    <row r="240" spans="3:9" hidden="1" x14ac:dyDescent="0.25">
      <c r="C240" t="s">
        <v>38</v>
      </c>
      <c r="I240" s="4"/>
    </row>
    <row r="241" spans="3:9" hidden="1" x14ac:dyDescent="0.25">
      <c r="C241" t="s">
        <v>9</v>
      </c>
      <c r="I241" s="4"/>
    </row>
    <row r="242" spans="3:9" hidden="1" x14ac:dyDescent="0.25">
      <c r="C242" t="s">
        <v>9</v>
      </c>
      <c r="E242" s="11" t="s">
        <v>39</v>
      </c>
      <c r="F242" s="10" t="s">
        <v>40</v>
      </c>
      <c r="G242" s="67"/>
      <c r="I242" s="4"/>
    </row>
    <row r="243" spans="3:9" hidden="1" x14ac:dyDescent="0.25">
      <c r="E243" s="7" t="s">
        <v>41</v>
      </c>
      <c r="F243" s="68"/>
      <c r="G243" s="69">
        <v>40</v>
      </c>
      <c r="I243" s="4"/>
    </row>
    <row r="244" spans="3:9" hidden="1" x14ac:dyDescent="0.25">
      <c r="E244" s="7" t="s">
        <v>42</v>
      </c>
      <c r="F244" s="10"/>
      <c r="G244" s="70">
        <v>35</v>
      </c>
      <c r="I244" s="4"/>
    </row>
    <row r="245" spans="3:9" hidden="1" x14ac:dyDescent="0.25">
      <c r="E245" s="7" t="s">
        <v>43</v>
      </c>
      <c r="F245" s="71"/>
      <c r="G245" s="72">
        <v>30</v>
      </c>
      <c r="I245" s="4"/>
    </row>
    <row r="246" spans="3:9" hidden="1" x14ac:dyDescent="0.25">
      <c r="I246" s="4"/>
    </row>
    <row r="247" spans="3:9" hidden="1" x14ac:dyDescent="0.25">
      <c r="C247" t="s">
        <v>44</v>
      </c>
      <c r="I247" s="4"/>
    </row>
    <row r="248" spans="3:9" hidden="1" x14ac:dyDescent="0.25"/>
    <row r="249" spans="3:9" hidden="1" x14ac:dyDescent="0.25"/>
  </sheetData>
  <sheetProtection password="D96D" sheet="1" objects="1" scenarios="1" selectLockedCells="1"/>
  <mergeCells count="1">
    <mergeCell ref="C3:E3"/>
  </mergeCells>
  <conditionalFormatting sqref="H13">
    <cfRule type="cellIs" dxfId="5" priority="3" operator="equal">
      <formula>"Check Input"</formula>
    </cfRule>
  </conditionalFormatting>
  <conditionalFormatting sqref="J13">
    <cfRule type="cellIs" dxfId="4" priority="2" operator="equal">
      <formula>"Check Input"</formula>
    </cfRule>
  </conditionalFormatting>
  <conditionalFormatting sqref="L13">
    <cfRule type="cellIs" dxfId="3" priority="1" operator="equal">
      <formula>"Check Input"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249"/>
  <sheetViews>
    <sheetView workbookViewId="0">
      <selection activeCell="H10" sqref="H10"/>
    </sheetView>
  </sheetViews>
  <sheetFormatPr defaultRowHeight="15" x14ac:dyDescent="0.25"/>
  <cols>
    <col min="5" max="5" width="36.5703125" bestFit="1" customWidth="1"/>
    <col min="7" max="7" width="13" bestFit="1" customWidth="1"/>
    <col min="8" max="8" width="19.7109375" customWidth="1"/>
    <col min="9" max="9" width="13.42578125" bestFit="1" customWidth="1"/>
    <col min="10" max="10" width="19.7109375" customWidth="1"/>
    <col min="11" max="11" width="12.42578125" customWidth="1"/>
    <col min="12" max="12" width="19.7109375" customWidth="1"/>
    <col min="24" max="24" width="36.5703125" bestFit="1" customWidth="1"/>
    <col min="26" max="26" width="14.7109375" bestFit="1" customWidth="1"/>
    <col min="27" max="27" width="13" customWidth="1"/>
    <col min="28" max="28" width="15.85546875" customWidth="1"/>
  </cols>
  <sheetData>
    <row r="3" spans="2:13" ht="18.75" x14ac:dyDescent="0.3">
      <c r="B3" s="90" t="s">
        <v>97</v>
      </c>
      <c r="C3" s="105" t="s">
        <v>98</v>
      </c>
      <c r="D3" s="106"/>
      <c r="E3" s="107"/>
      <c r="G3" s="85"/>
      <c r="I3" s="85"/>
      <c r="J3" s="85"/>
    </row>
    <row r="5" spans="2:13" ht="15.75" x14ac:dyDescent="0.25">
      <c r="E5" s="111" t="s">
        <v>104</v>
      </c>
      <c r="F5" s="103" t="s">
        <v>105</v>
      </c>
      <c r="I5" s="85"/>
    </row>
    <row r="7" spans="2:13" ht="16.5" thickBot="1" x14ac:dyDescent="0.3">
      <c r="B7" s="103" t="s">
        <v>99</v>
      </c>
    </row>
    <row r="8" spans="2:13" ht="16.5" thickBot="1" x14ac:dyDescent="0.3">
      <c r="B8" s="103" t="s">
        <v>59</v>
      </c>
      <c r="H8" s="117" t="s">
        <v>93</v>
      </c>
      <c r="I8" s="83"/>
      <c r="J8" s="118" t="s">
        <v>94</v>
      </c>
      <c r="K8" s="83"/>
      <c r="L8" s="119" t="s">
        <v>95</v>
      </c>
    </row>
    <row r="9" spans="2:13" x14ac:dyDescent="0.25">
      <c r="B9" t="s">
        <v>86</v>
      </c>
      <c r="H9" s="120">
        <v>245</v>
      </c>
      <c r="I9" t="s">
        <v>26</v>
      </c>
      <c r="J9" s="123">
        <v>122</v>
      </c>
      <c r="K9" t="s">
        <v>26</v>
      </c>
      <c r="L9" s="124">
        <v>179</v>
      </c>
      <c r="M9" t="s">
        <v>26</v>
      </c>
    </row>
    <row r="10" spans="2:13" x14ac:dyDescent="0.25">
      <c r="B10" t="s">
        <v>87</v>
      </c>
      <c r="H10" s="121">
        <v>803</v>
      </c>
      <c r="I10" t="s">
        <v>26</v>
      </c>
      <c r="J10" s="125">
        <v>805</v>
      </c>
      <c r="K10" t="s">
        <v>26</v>
      </c>
      <c r="L10" s="126">
        <v>803</v>
      </c>
      <c r="M10" t="s">
        <v>26</v>
      </c>
    </row>
    <row r="11" spans="2:13" x14ac:dyDescent="0.25">
      <c r="B11" t="s">
        <v>89</v>
      </c>
      <c r="H11" s="122">
        <v>807.5</v>
      </c>
      <c r="I11" t="s">
        <v>26</v>
      </c>
      <c r="J11" s="125">
        <v>809</v>
      </c>
      <c r="K11" t="s">
        <v>26</v>
      </c>
      <c r="L11" s="126">
        <v>807.65</v>
      </c>
      <c r="M11" t="s">
        <v>26</v>
      </c>
    </row>
    <row r="12" spans="2:13" ht="15.75" thickBot="1" x14ac:dyDescent="0.3">
      <c r="B12" t="s">
        <v>88</v>
      </c>
      <c r="H12" s="114">
        <v>322</v>
      </c>
      <c r="I12" t="s">
        <v>26</v>
      </c>
      <c r="J12" s="115">
        <v>217</v>
      </c>
      <c r="K12" t="s">
        <v>26</v>
      </c>
      <c r="L12" s="116">
        <v>283</v>
      </c>
      <c r="M12" t="s">
        <v>26</v>
      </c>
    </row>
    <row r="13" spans="2:13" x14ac:dyDescent="0.25">
      <c r="B13" t="s">
        <v>46</v>
      </c>
      <c r="H13" s="84">
        <f>IF(AND(H9="",H10="",H11="",H12=""),0,IF(AND(H9=0,H10=0,H11=0,H12=0),0,IF(OR(H9=0,H9="",H10=0,H10="",H11=0,H11="",H12=0,H12="",H9&gt;H12),"Check Input",((H12-H9)/2)/(H11-H10))))</f>
        <v>8.5555555555555554</v>
      </c>
      <c r="J13" s="84">
        <f>IF(AND(J9="",J10="",J11="",J12=""),0,IF(AND(J9=0,J10=0,J11=0,J12=0),0,IF(OR(J9=0,J9="",J10=0,J10="",J11=0,J11="",J12=0,J12="",J9&gt;J12),"Check Input",((J12-J9)/2)/(J11-J10))))</f>
        <v>11.875</v>
      </c>
      <c r="L13" s="84">
        <f>IF(AND(L9="",L10="",L11="",L12=""),0,IF(AND(L9=0,L10=0,L11=0,L12=0),0,IF(OR(L9=0,L9="",L10=0,L10="",L11=0,L11="",L12=0,L12="",L9&gt;L12),"Check Input",((L12-L9)/2)/(L11-L10))))</f>
        <v>11.182795698924785</v>
      </c>
    </row>
    <row r="14" spans="2:13" x14ac:dyDescent="0.25">
      <c r="B14" t="s">
        <v>47</v>
      </c>
      <c r="H14" s="74">
        <f>IF(H13="Check Input",0, IF(H13&gt;0,H10+1.5,0))</f>
        <v>804.5</v>
      </c>
      <c r="I14" t="s">
        <v>26</v>
      </c>
      <c r="J14" s="74">
        <f>IF(J13="Check Input",0, IF(J13&gt;0,J10+1.5,0))</f>
        <v>806.5</v>
      </c>
      <c r="K14" t="s">
        <v>26</v>
      </c>
      <c r="L14" s="74">
        <f>IF(L13="Check Input",0, IF(L13&gt;0,L10+1.5,0))</f>
        <v>804.5</v>
      </c>
      <c r="M14" t="s">
        <v>26</v>
      </c>
    </row>
    <row r="15" spans="2:13" x14ac:dyDescent="0.25">
      <c r="B15" t="s">
        <v>48</v>
      </c>
      <c r="H15">
        <f>IF(H13="Check Input",0,H14+2.5)</f>
        <v>807</v>
      </c>
      <c r="I15" t="s">
        <v>26</v>
      </c>
      <c r="J15">
        <f>IF(J13="Check Input",0,J14+2.5)</f>
        <v>809</v>
      </c>
      <c r="K15" t="s">
        <v>26</v>
      </c>
      <c r="L15">
        <f>IF(L13="Check Input",0,L14+2.5)</f>
        <v>807</v>
      </c>
      <c r="M15" t="s">
        <v>26</v>
      </c>
    </row>
    <row r="17" spans="2:12" ht="15.75" x14ac:dyDescent="0.25">
      <c r="B17" s="103" t="s">
        <v>90</v>
      </c>
    </row>
    <row r="18" spans="2:12" x14ac:dyDescent="0.25">
      <c r="B18" t="s">
        <v>85</v>
      </c>
      <c r="H18" s="79">
        <f>IF(H13="Check Input",0,IF(H13=0,0,ROUNDUP((H36*H62+H37*H65+H63+H64),0)))</f>
        <v>160000</v>
      </c>
      <c r="J18" s="79">
        <f>IF(J13="Check Input",0,IF(J13=0,0,ROUNDUP((J36*J62+J37*J65+J63+J64),0)))</f>
        <v>160000</v>
      </c>
      <c r="L18" s="79">
        <f>IF(L13="Check Input",0,IF(L13=0,0,ROUNDUP((L36*L62+L37*L65+L63+L64),0)))</f>
        <v>160000</v>
      </c>
    </row>
    <row r="19" spans="2:12" ht="15.75" thickBot="1" x14ac:dyDescent="0.3">
      <c r="B19" t="s">
        <v>84</v>
      </c>
      <c r="H19" s="79">
        <f>IF(H13="Check Input",0,IF(H13=0,0,ROUNDUP(I124+H61,0)))</f>
        <v>23271546</v>
      </c>
      <c r="J19" s="79">
        <f>IF(J13="Check Input",0,IF(J13=0,0,ROUNDUP(I181+J61,0)))</f>
        <v>19232984</v>
      </c>
      <c r="L19" s="79">
        <f>IF(L13="Check Input",0,IF(L13=0,0,ROUNDUP(I237+L61,0)))</f>
        <v>21680085</v>
      </c>
    </row>
    <row r="20" spans="2:12" ht="19.5" thickBot="1" x14ac:dyDescent="0.35">
      <c r="B20" s="90" t="s">
        <v>103</v>
      </c>
      <c r="C20" s="104"/>
      <c r="D20" s="104"/>
      <c r="E20" s="104"/>
      <c r="F20" s="104"/>
      <c r="G20" s="104"/>
      <c r="H20" s="108">
        <f>ROUNDUP(H18+H19,-5)</f>
        <v>23500000</v>
      </c>
      <c r="I20" s="104"/>
      <c r="J20" s="109">
        <f>ROUNDUP(J18+J19,-5)</f>
        <v>19400000</v>
      </c>
      <c r="K20" s="104"/>
      <c r="L20" s="110">
        <f>ROUNDUP(L18+L19,-5)</f>
        <v>21900000</v>
      </c>
    </row>
    <row r="21" spans="2:12" ht="19.5" thickBot="1" x14ac:dyDescent="0.35">
      <c r="B21" s="103"/>
      <c r="C21" s="104"/>
      <c r="D21" s="104"/>
      <c r="E21" s="104"/>
      <c r="F21" s="104"/>
      <c r="G21" s="104"/>
    </row>
    <row r="22" spans="2:12" ht="19.5" thickBot="1" x14ac:dyDescent="0.35">
      <c r="B22" s="103"/>
      <c r="C22" s="104"/>
      <c r="D22" s="104"/>
      <c r="E22" s="104"/>
      <c r="F22" s="104"/>
      <c r="G22" s="112" t="s">
        <v>100</v>
      </c>
      <c r="H22" s="113">
        <f>IF(AND($H20&gt;0,$J20&gt;0,$L20&gt;0),MIN($H20,$J20,$L20),IF(AND($H20&gt;0,$J20&gt;0,$L20=0),MIN($H20,$J20),$H20))</f>
        <v>19400000</v>
      </c>
      <c r="I22" s="112" t="s">
        <v>101</v>
      </c>
      <c r="J22" s="113">
        <f>IF(AND($H20&gt;0,$J20&gt;0,$L20&gt;0),MAX($H20,$J20,$L20),IF(AND($H20&gt;0,$J20&gt;0,$L20=0),MAX($H20,$J20),$H20))</f>
        <v>23500000</v>
      </c>
      <c r="K22" s="112" t="s">
        <v>102</v>
      </c>
      <c r="L22" s="113">
        <f>IF(AND($H20&gt;0,$J20&gt;0,$L20&gt;0),AVERAGE($H20,$J20,$L20),IF(AND($H20&gt;0,$J20&gt;0,$L20=0),AVERAGE($H20,$J20),$H20))</f>
        <v>21600000</v>
      </c>
    </row>
    <row r="23" spans="2:12" x14ac:dyDescent="0.25">
      <c r="H23" s="79"/>
    </row>
    <row r="24" spans="2:12" hidden="1" x14ac:dyDescent="0.25">
      <c r="H24" s="79"/>
    </row>
    <row r="25" spans="2:12" hidden="1" x14ac:dyDescent="0.25">
      <c r="H25" s="79"/>
    </row>
    <row r="26" spans="2:12" hidden="1" x14ac:dyDescent="0.25">
      <c r="H26" s="79"/>
    </row>
    <row r="27" spans="2:12" hidden="1" x14ac:dyDescent="0.25">
      <c r="H27" s="79"/>
    </row>
    <row r="28" spans="2:12" hidden="1" x14ac:dyDescent="0.25">
      <c r="H28" s="79"/>
    </row>
    <row r="29" spans="2:12" hidden="1" x14ac:dyDescent="0.25">
      <c r="H29" s="79"/>
    </row>
    <row r="30" spans="2:12" hidden="1" x14ac:dyDescent="0.25">
      <c r="H30" s="79"/>
    </row>
    <row r="31" spans="2:12" hidden="1" x14ac:dyDescent="0.25">
      <c r="H31" s="79"/>
    </row>
    <row r="32" spans="2:12" hidden="1" x14ac:dyDescent="0.25">
      <c r="H32" s="79"/>
    </row>
    <row r="33" spans="2:13" hidden="1" x14ac:dyDescent="0.25">
      <c r="H33" s="79"/>
    </row>
    <row r="34" spans="2:13" hidden="1" x14ac:dyDescent="0.25"/>
    <row r="35" spans="2:13" hidden="1" x14ac:dyDescent="0.25"/>
    <row r="36" spans="2:13" hidden="1" x14ac:dyDescent="0.25">
      <c r="B36" t="s">
        <v>67</v>
      </c>
      <c r="H36" s="86">
        <v>1</v>
      </c>
      <c r="I36" s="85"/>
      <c r="J36" s="86">
        <v>1</v>
      </c>
      <c r="K36" s="85"/>
      <c r="L36" s="86">
        <v>1</v>
      </c>
    </row>
    <row r="37" spans="2:13" hidden="1" x14ac:dyDescent="0.25">
      <c r="B37" t="s">
        <v>96</v>
      </c>
      <c r="H37" s="86">
        <v>1</v>
      </c>
      <c r="I37" s="85"/>
      <c r="J37" s="86">
        <v>1</v>
      </c>
      <c r="K37" s="85"/>
      <c r="L37" s="86">
        <v>1</v>
      </c>
    </row>
    <row r="38" spans="2:13" hidden="1" x14ac:dyDescent="0.25"/>
    <row r="39" spans="2:13" hidden="1" x14ac:dyDescent="0.25">
      <c r="B39" s="73" t="s">
        <v>52</v>
      </c>
      <c r="H39" s="87" t="s">
        <v>93</v>
      </c>
      <c r="I39" s="83"/>
      <c r="J39" s="88" t="s">
        <v>94</v>
      </c>
      <c r="K39" s="83"/>
      <c r="L39" s="89" t="s">
        <v>95</v>
      </c>
    </row>
    <row r="40" spans="2:13" hidden="1" x14ac:dyDescent="0.25">
      <c r="B40" t="s">
        <v>45</v>
      </c>
      <c r="H40" s="94">
        <f>ROUNDUP((H9+(H14-H10)*H13*2-2),1)</f>
        <v>268.70000000000005</v>
      </c>
      <c r="I40" t="s">
        <v>26</v>
      </c>
      <c r="J40" s="75">
        <f>ROUNDUP((J9+(J14-J10)*J13*2-2),1)</f>
        <v>155.69999999999999</v>
      </c>
      <c r="K40" t="s">
        <v>26</v>
      </c>
      <c r="L40" s="98">
        <f>ROUNDUP((L9+(L14-L10)*L13*2-2),1)</f>
        <v>210.6</v>
      </c>
      <c r="M40" t="s">
        <v>26</v>
      </c>
    </row>
    <row r="41" spans="2:13" ht="17.25" hidden="1" x14ac:dyDescent="0.25">
      <c r="B41" t="s">
        <v>49</v>
      </c>
      <c r="H41" s="95">
        <f>(H15-H14)*3*(H14-H10)-0.65*(H15-H14)^2</f>
        <v>7.1875</v>
      </c>
      <c r="I41" t="s">
        <v>51</v>
      </c>
      <c r="J41" s="96">
        <f>(J15-J14)*3*(J14-J10)-0.65*(J15-J14)^2</f>
        <v>7.1875</v>
      </c>
      <c r="K41" t="s">
        <v>50</v>
      </c>
      <c r="L41" s="102">
        <f>(L15-L14)*3*(L14-L10)-0.65*(L15-L14)^2</f>
        <v>7.1875</v>
      </c>
      <c r="M41" t="s">
        <v>50</v>
      </c>
    </row>
    <row r="42" spans="2:13" hidden="1" x14ac:dyDescent="0.25">
      <c r="B42" t="s">
        <v>73</v>
      </c>
      <c r="H42" s="92">
        <f>(H14-H10)*2-(H15-H14)*0.9</f>
        <v>0.75</v>
      </c>
      <c r="I42" t="s">
        <v>26</v>
      </c>
      <c r="J42" s="75">
        <f>(J14-J10)*2-(J15-J14)*0.9</f>
        <v>0.75</v>
      </c>
      <c r="K42" t="s">
        <v>26</v>
      </c>
      <c r="L42" s="98">
        <f>(L14-L10)*2-(L15-L14)*0.9</f>
        <v>0.75</v>
      </c>
      <c r="M42" t="s">
        <v>26</v>
      </c>
    </row>
    <row r="43" spans="2:13" hidden="1" x14ac:dyDescent="0.25">
      <c r="B43" t="s">
        <v>55</v>
      </c>
      <c r="H43" s="92">
        <f>ROUNDUP((H40/0.5+1),0)*4*(1+(H14-H10))</f>
        <v>5390</v>
      </c>
      <c r="I43" t="s">
        <v>56</v>
      </c>
      <c r="J43" s="75">
        <f>ROUNDUP((J40/0.5+1),0)*4*(1+(J14-J10))</f>
        <v>3130</v>
      </c>
      <c r="K43" t="s">
        <v>56</v>
      </c>
      <c r="L43" s="98">
        <f>ROUNDUP((L40/0.5+1),0)*4*(1+(L14-L10))</f>
        <v>4230</v>
      </c>
      <c r="M43" t="s">
        <v>56</v>
      </c>
    </row>
    <row r="44" spans="2:13" hidden="1" x14ac:dyDescent="0.25">
      <c r="H44" s="92"/>
      <c r="J44" s="75"/>
      <c r="L44" s="98"/>
    </row>
    <row r="45" spans="2:13" hidden="1" x14ac:dyDescent="0.25">
      <c r="B45" s="73" t="s">
        <v>53</v>
      </c>
      <c r="H45" s="92"/>
      <c r="J45" s="75"/>
      <c r="L45" s="98"/>
    </row>
    <row r="46" spans="2:13" hidden="1" x14ac:dyDescent="0.25">
      <c r="B46" t="s">
        <v>57</v>
      </c>
      <c r="H46" s="94">
        <f>ROUNDUP((H9+(H15-H10)*H13*2),1)-H40+12</f>
        <v>56.799999999999955</v>
      </c>
      <c r="I46" t="s">
        <v>26</v>
      </c>
      <c r="J46" s="75">
        <f>ROUNDUP((J9+(J15-J10)*J13*2),1)-J40+12</f>
        <v>73.300000000000011</v>
      </c>
      <c r="K46" t="s">
        <v>26</v>
      </c>
      <c r="L46" s="98">
        <f>ROUNDUP((L9+(L15-L10)*L13*2),1)-L40+12</f>
        <v>69.900000000000006</v>
      </c>
      <c r="M46" t="s">
        <v>26</v>
      </c>
    </row>
    <row r="47" spans="2:13" ht="17.25" hidden="1" x14ac:dyDescent="0.25">
      <c r="B47" t="s">
        <v>58</v>
      </c>
      <c r="H47" s="92">
        <f>((H15-H10)*0.6+2)/2*(H15-H10)</f>
        <v>8.8000000000000007</v>
      </c>
      <c r="I47" t="s">
        <v>51</v>
      </c>
      <c r="J47" s="75">
        <f>((J15-J10)*0.6+2)/2*(J15-J10)</f>
        <v>8.8000000000000007</v>
      </c>
      <c r="K47" t="s">
        <v>50</v>
      </c>
      <c r="L47" s="98">
        <f>((L15-L10)*0.6+2)/2*(L15-L10)</f>
        <v>8.8000000000000007</v>
      </c>
      <c r="M47" t="s">
        <v>50</v>
      </c>
    </row>
    <row r="48" spans="2:13" hidden="1" x14ac:dyDescent="0.25">
      <c r="B48" t="s">
        <v>73</v>
      </c>
      <c r="H48" s="95">
        <f>(H15-H10)+(H15-H10)*(SQRT(1.36))</f>
        <v>8.6647615158762399</v>
      </c>
      <c r="I48" t="s">
        <v>26</v>
      </c>
      <c r="J48" s="96">
        <f>(J15-J10)+(J15-J10)*(SQRT(1.36))</f>
        <v>8.6647615158762399</v>
      </c>
      <c r="K48" t="s">
        <v>26</v>
      </c>
      <c r="L48" s="102">
        <f>(L15-L10)+(L15-L10)*(SQRT(1.36))</f>
        <v>8.6647615158762399</v>
      </c>
      <c r="M48" t="s">
        <v>26</v>
      </c>
    </row>
    <row r="49" spans="2:13" hidden="1" x14ac:dyDescent="0.25">
      <c r="B49" t="s">
        <v>55</v>
      </c>
      <c r="H49" s="92">
        <f>ROUNDUP((H46/1+1),0)*4*(H15-H10+1)</f>
        <v>1160</v>
      </c>
      <c r="I49" t="s">
        <v>56</v>
      </c>
      <c r="J49" s="75">
        <f>ROUNDUP((J46/1+1),0)*4*(J15-J10+1)</f>
        <v>1500</v>
      </c>
      <c r="K49" t="s">
        <v>56</v>
      </c>
      <c r="L49" s="98">
        <f>ROUNDUP((L46/1+1),0)*4*(L15-L10+1)</f>
        <v>1420</v>
      </c>
      <c r="M49" t="s">
        <v>56</v>
      </c>
    </row>
    <row r="50" spans="2:13" hidden="1" x14ac:dyDescent="0.25">
      <c r="H50" s="92"/>
      <c r="J50" s="75"/>
      <c r="L50" s="98"/>
    </row>
    <row r="51" spans="2:13" hidden="1" x14ac:dyDescent="0.25">
      <c r="B51" s="73" t="s">
        <v>54</v>
      </c>
      <c r="H51" s="92"/>
      <c r="J51" s="75"/>
      <c r="L51" s="98"/>
    </row>
    <row r="52" spans="2:13" hidden="1" x14ac:dyDescent="0.25">
      <c r="B52" t="s">
        <v>57</v>
      </c>
      <c r="H52" s="92">
        <f>ROUNDUP((H15-H14)*19,0)</f>
        <v>48</v>
      </c>
      <c r="I52" t="s">
        <v>26</v>
      </c>
      <c r="J52" s="75">
        <f>ROUNDUP((J15-J14)*19,0)</f>
        <v>48</v>
      </c>
      <c r="K52" t="s">
        <v>26</v>
      </c>
      <c r="L52" s="98">
        <f>ROUNDUP((L15-L14)*19,0)</f>
        <v>48</v>
      </c>
      <c r="M52" t="s">
        <v>26</v>
      </c>
    </row>
    <row r="53" spans="2:13" ht="17.25" hidden="1" x14ac:dyDescent="0.25">
      <c r="B53" t="s">
        <v>58</v>
      </c>
      <c r="H53" s="92">
        <f>1*(H15-H10)</f>
        <v>4</v>
      </c>
      <c r="I53" t="s">
        <v>51</v>
      </c>
      <c r="J53" s="75">
        <f>1*(J15-J10)</f>
        <v>4</v>
      </c>
      <c r="K53" t="s">
        <v>50</v>
      </c>
      <c r="L53" s="98">
        <f>1*(L15-L10)</f>
        <v>4</v>
      </c>
      <c r="M53" t="s">
        <v>50</v>
      </c>
    </row>
    <row r="54" spans="2:13" hidden="1" x14ac:dyDescent="0.25">
      <c r="B54" t="s">
        <v>73</v>
      </c>
      <c r="H54" s="92">
        <f>2*(H15-H10)</f>
        <v>8</v>
      </c>
      <c r="I54" t="s">
        <v>26</v>
      </c>
      <c r="J54" s="75">
        <f>2*(J15-J10)</f>
        <v>8</v>
      </c>
      <c r="K54" t="s">
        <v>26</v>
      </c>
      <c r="L54" s="98">
        <f>2*(L15-L10)</f>
        <v>8</v>
      </c>
      <c r="M54" t="s">
        <v>26</v>
      </c>
    </row>
    <row r="55" spans="2:13" hidden="1" x14ac:dyDescent="0.25">
      <c r="B55" t="s">
        <v>61</v>
      </c>
      <c r="H55" s="92">
        <f>H52*(H15-H10)*35+20*H52</f>
        <v>7680</v>
      </c>
      <c r="I55" t="s">
        <v>56</v>
      </c>
      <c r="J55" s="75">
        <f>J52*(J15-J10)*35+20*J52</f>
        <v>7680</v>
      </c>
      <c r="K55" t="s">
        <v>56</v>
      </c>
      <c r="L55" s="98">
        <f>L52*(L15-L10)*35+20*L52</f>
        <v>7680</v>
      </c>
      <c r="M55" t="s">
        <v>56</v>
      </c>
    </row>
    <row r="56" spans="2:13" hidden="1" x14ac:dyDescent="0.25">
      <c r="H56" s="92"/>
      <c r="J56" s="75"/>
      <c r="L56" s="98"/>
    </row>
    <row r="57" spans="2:13" hidden="1" x14ac:dyDescent="0.25">
      <c r="B57" s="73" t="s">
        <v>60</v>
      </c>
      <c r="H57" s="92"/>
      <c r="J57" s="75"/>
      <c r="L57" s="98"/>
    </row>
    <row r="58" spans="2:13" hidden="1" x14ac:dyDescent="0.25">
      <c r="B58" t="s">
        <v>62</v>
      </c>
      <c r="H58" s="92">
        <v>6</v>
      </c>
      <c r="I58" t="s">
        <v>63</v>
      </c>
      <c r="J58" s="75">
        <v>6</v>
      </c>
      <c r="K58" t="s">
        <v>63</v>
      </c>
      <c r="L58" s="98">
        <v>6</v>
      </c>
      <c r="M58" t="s">
        <v>63</v>
      </c>
    </row>
    <row r="59" spans="2:13" hidden="1" x14ac:dyDescent="0.25">
      <c r="B59" t="s">
        <v>64</v>
      </c>
      <c r="H59" s="92">
        <v>470</v>
      </c>
      <c r="I59" t="s">
        <v>56</v>
      </c>
      <c r="J59" s="75">
        <v>470</v>
      </c>
      <c r="K59" t="s">
        <v>56</v>
      </c>
      <c r="L59" s="98">
        <v>470</v>
      </c>
      <c r="M59" t="s">
        <v>56</v>
      </c>
    </row>
    <row r="60" spans="2:13" ht="17.25" hidden="1" x14ac:dyDescent="0.25">
      <c r="B60" t="s">
        <v>14</v>
      </c>
      <c r="H60" s="92">
        <v>30</v>
      </c>
      <c r="I60" t="s">
        <v>51</v>
      </c>
      <c r="J60" s="75">
        <v>30</v>
      </c>
      <c r="K60" t="s">
        <v>50</v>
      </c>
      <c r="L60" s="98">
        <v>30</v>
      </c>
      <c r="M60" t="s">
        <v>50</v>
      </c>
    </row>
    <row r="61" spans="2:13" hidden="1" x14ac:dyDescent="0.25">
      <c r="B61" t="s">
        <v>65</v>
      </c>
      <c r="H61" s="92">
        <v>25000</v>
      </c>
      <c r="I61" t="s">
        <v>66</v>
      </c>
      <c r="J61" s="75">
        <v>25000</v>
      </c>
      <c r="K61" t="s">
        <v>66</v>
      </c>
      <c r="L61" s="98">
        <v>25000</v>
      </c>
      <c r="M61" t="s">
        <v>66</v>
      </c>
    </row>
    <row r="62" spans="2:13" hidden="1" x14ac:dyDescent="0.25">
      <c r="B62" t="s">
        <v>67</v>
      </c>
      <c r="H62" s="92">
        <v>30000</v>
      </c>
      <c r="I62" t="s">
        <v>68</v>
      </c>
      <c r="J62" s="75">
        <v>30000</v>
      </c>
      <c r="K62" t="s">
        <v>68</v>
      </c>
      <c r="L62" s="98">
        <v>30000</v>
      </c>
      <c r="M62" t="s">
        <v>68</v>
      </c>
    </row>
    <row r="63" spans="2:13" hidden="1" x14ac:dyDescent="0.25">
      <c r="B63" t="s">
        <v>74</v>
      </c>
      <c r="H63" s="92">
        <v>35000</v>
      </c>
      <c r="I63" t="s">
        <v>68</v>
      </c>
      <c r="J63" s="75">
        <v>35000</v>
      </c>
      <c r="K63" t="s">
        <v>68</v>
      </c>
      <c r="L63" s="98">
        <v>35000</v>
      </c>
      <c r="M63" t="s">
        <v>68</v>
      </c>
    </row>
    <row r="64" spans="2:13" hidden="1" x14ac:dyDescent="0.25">
      <c r="B64" t="s">
        <v>75</v>
      </c>
      <c r="H64" s="92">
        <v>35000</v>
      </c>
      <c r="I64" t="s">
        <v>68</v>
      </c>
      <c r="J64" s="75">
        <v>35000</v>
      </c>
      <c r="K64" t="s">
        <v>68</v>
      </c>
      <c r="L64" s="98">
        <v>35000</v>
      </c>
      <c r="M64" t="s">
        <v>68</v>
      </c>
    </row>
    <row r="65" spans="2:29" hidden="1" x14ac:dyDescent="0.25">
      <c r="B65" t="s">
        <v>76</v>
      </c>
      <c r="H65" s="92">
        <v>60000</v>
      </c>
      <c r="I65" t="s">
        <v>68</v>
      </c>
      <c r="J65" s="75">
        <v>60000</v>
      </c>
      <c r="K65" t="s">
        <v>68</v>
      </c>
      <c r="L65" s="98">
        <v>60000</v>
      </c>
      <c r="M65" t="s">
        <v>68</v>
      </c>
    </row>
    <row r="66" spans="2:29" hidden="1" x14ac:dyDescent="0.25">
      <c r="H66" s="92"/>
      <c r="J66" s="75"/>
      <c r="L66" s="98"/>
    </row>
    <row r="67" spans="2:29" hidden="1" x14ac:dyDescent="0.25">
      <c r="B67" s="73" t="s">
        <v>71</v>
      </c>
      <c r="H67" s="92">
        <f>ROUNDUP(H40*0.2*((H15-H14)*3+2)+0.2*H46*((H15-H10)*0.6+3)+H52*0.2*2,0)</f>
        <v>592</v>
      </c>
      <c r="I67" t="s">
        <v>63</v>
      </c>
      <c r="J67" s="75">
        <f>ROUNDUP(J40*0.2*((J15-J14)*3+2)+0.2*J46*((J15-J10)*0.6+3)+J52*0.2*2,0)</f>
        <v>395</v>
      </c>
      <c r="K67" t="s">
        <v>63</v>
      </c>
      <c r="L67" s="98">
        <f>ROUNDUP(L40*0.2*((L15-L14)*3+2)+0.2*L46*((L15-L10)*0.6+3)+L52*0.2*2,0)</f>
        <v>495</v>
      </c>
      <c r="M67" t="s">
        <v>63</v>
      </c>
    </row>
    <row r="68" spans="2:29" hidden="1" x14ac:dyDescent="0.25">
      <c r="B68" s="73" t="s">
        <v>69</v>
      </c>
      <c r="H68" s="92">
        <f>ROUNDUP((0.8*(H46+10)*20/1.6),0)</f>
        <v>668</v>
      </c>
      <c r="I68" t="s">
        <v>63</v>
      </c>
      <c r="J68" s="75">
        <f>ROUNDUP((0.8*(J46+10)*20/1.6),0)</f>
        <v>833</v>
      </c>
      <c r="K68" t="s">
        <v>63</v>
      </c>
      <c r="L68" s="98">
        <f>ROUNDUP((0.8*(L46+10)*20/1.6),0)</f>
        <v>799</v>
      </c>
      <c r="M68" t="s">
        <v>63</v>
      </c>
    </row>
    <row r="69" spans="2:29" hidden="1" x14ac:dyDescent="0.25">
      <c r="B69" s="73" t="s">
        <v>70</v>
      </c>
      <c r="H69" s="92">
        <f>ROUNDUP(((((H15-H10)*0.6+1+10)*(H15-H10)+(H15-H10)^2)*(H46+10+(H15-H10))+((H40+2)*(3*(H15-H14)+2))*0.3),0)</f>
        <v>5700</v>
      </c>
      <c r="I69" t="s">
        <v>63</v>
      </c>
      <c r="J69" s="75">
        <f>ROUNDUP(((((J15-J10)*0.6+1+10)*(J15-J10)+(J15-J10)^2)*(J46+10+(J15-J10))+((J40+2)*(3*(J15-J14)+2))*0.3),0)</f>
        <v>6526</v>
      </c>
      <c r="K69" t="s">
        <v>63</v>
      </c>
      <c r="L69" s="98">
        <f>ROUNDUP(((((L15-L10)*0.6+1+10)*(L15-L10)+(L15-L10)^2)*(L46+10+(L15-L10))+((L40+2)*(3*(L15-L14)+2))*0.3),0)</f>
        <v>6446</v>
      </c>
      <c r="M69" t="s">
        <v>63</v>
      </c>
    </row>
    <row r="70" spans="2:29" hidden="1" x14ac:dyDescent="0.25">
      <c r="B70" s="73" t="s">
        <v>72</v>
      </c>
      <c r="H70" s="92">
        <f>ROUNDUP(H69/10,0)</f>
        <v>570</v>
      </c>
      <c r="I70" t="s">
        <v>63</v>
      </c>
      <c r="J70" s="75">
        <f>ROUNDUP(J69/10,0)</f>
        <v>653</v>
      </c>
      <c r="K70" t="s">
        <v>63</v>
      </c>
      <c r="L70" s="98">
        <f>ROUNDUP(L69/10,0)</f>
        <v>645</v>
      </c>
      <c r="M70" t="s">
        <v>63</v>
      </c>
    </row>
    <row r="71" spans="2:29" hidden="1" x14ac:dyDescent="0.25">
      <c r="B71" s="73" t="s">
        <v>80</v>
      </c>
      <c r="H71" s="92">
        <f>ROUNDUP((H40*((H15-H14)*3+3)+(H46+3)*(3+(H15-H10)*0.6)+(H52+6)*3),0)</f>
        <v>3307</v>
      </c>
      <c r="I71" t="s">
        <v>50</v>
      </c>
      <c r="J71" s="75">
        <f>ROUNDUP((J40*((J15-J14)*3+3)+(J46+3)*(3+(J15-J10)*0.6)+(J52+6)*3),0)</f>
        <v>2209</v>
      </c>
      <c r="K71" t="s">
        <v>50</v>
      </c>
      <c r="L71" s="98">
        <f>ROUNDUP((L40*((L15-L14)*3+3)+(L46+3)*(3+(L15-L10)*0.6)+(L52+6)*3),0)</f>
        <v>2767</v>
      </c>
      <c r="M71" t="s">
        <v>50</v>
      </c>
    </row>
    <row r="72" spans="2:29" hidden="1" x14ac:dyDescent="0.25">
      <c r="H72" s="92"/>
      <c r="J72" s="75"/>
      <c r="L72" s="98"/>
    </row>
    <row r="73" spans="2:29" hidden="1" x14ac:dyDescent="0.25">
      <c r="B73" s="73" t="s">
        <v>77</v>
      </c>
      <c r="H73" s="92"/>
      <c r="J73" s="75"/>
      <c r="L73" s="98"/>
    </row>
    <row r="74" spans="2:29" hidden="1" x14ac:dyDescent="0.25">
      <c r="B74" s="73" t="s">
        <v>78</v>
      </c>
      <c r="D74" t="s">
        <v>81</v>
      </c>
      <c r="H74" s="92">
        <f>ROUNDUP((H40*H41+H46*H47),0)</f>
        <v>2432</v>
      </c>
      <c r="I74" t="s">
        <v>63</v>
      </c>
      <c r="J74" s="75">
        <f>ROUNDUP((J40*J41+J46*J47),0)</f>
        <v>1765</v>
      </c>
      <c r="K74" t="s">
        <v>63</v>
      </c>
      <c r="L74" s="98">
        <f>ROUNDUP((L40*L41+L46*L47),0)</f>
        <v>2129</v>
      </c>
      <c r="M74" t="s">
        <v>63</v>
      </c>
    </row>
    <row r="75" spans="2:29" hidden="1" x14ac:dyDescent="0.25">
      <c r="D75" t="s">
        <v>82</v>
      </c>
      <c r="H75" s="92">
        <f>ROUNDUP((H52*H53+H58),0)</f>
        <v>198</v>
      </c>
      <c r="J75" s="75">
        <f>ROUNDUP((J52*J53+J58),0)</f>
        <v>198</v>
      </c>
      <c r="L75" s="98">
        <f>ROUNDUP((L52*L53+L58),0)</f>
        <v>198</v>
      </c>
    </row>
    <row r="76" spans="2:29" hidden="1" x14ac:dyDescent="0.25">
      <c r="D76" t="s">
        <v>83</v>
      </c>
      <c r="H76" s="92">
        <f>H67</f>
        <v>592</v>
      </c>
      <c r="J76" s="75">
        <f>J67</f>
        <v>395</v>
      </c>
      <c r="L76" s="98">
        <f>L67</f>
        <v>495</v>
      </c>
      <c r="AC76" s="3"/>
    </row>
    <row r="77" spans="2:29" hidden="1" x14ac:dyDescent="0.25">
      <c r="B77" s="73" t="s">
        <v>79</v>
      </c>
      <c r="H77" s="92">
        <f>ROUNDUP((H43+H49+H55+H59)/1000,1)</f>
        <v>14.7</v>
      </c>
      <c r="I77" t="s">
        <v>16</v>
      </c>
      <c r="J77" s="75">
        <f>ROUNDUP((J43+J49+J55+J59)/1000,1)</f>
        <v>12.799999999999999</v>
      </c>
      <c r="K77" t="s">
        <v>16</v>
      </c>
      <c r="L77" s="98">
        <f>ROUNDUP((L43+L49+L55+L59)/1000,1)</f>
        <v>13.8</v>
      </c>
      <c r="M77" t="s">
        <v>16</v>
      </c>
    </row>
    <row r="78" spans="2:29" hidden="1" x14ac:dyDescent="0.25">
      <c r="B78" s="73" t="s">
        <v>14</v>
      </c>
      <c r="H78" s="92">
        <f>ROUNDUP(((H40*H42+H46*H48+H52*H54)*1.1+H60),0)</f>
        <v>1216</v>
      </c>
      <c r="I78" t="s">
        <v>50</v>
      </c>
      <c r="J78" s="75">
        <f>ROUNDUP(((J40*J42+J46*J48+J52*J54)*1.1+J60),0)</f>
        <v>1280</v>
      </c>
      <c r="K78" t="s">
        <v>50</v>
      </c>
      <c r="L78" s="98">
        <f>ROUNDUP(((L40*L42+L46*L48+L52*L54)*1.1+L60),0)</f>
        <v>1293</v>
      </c>
      <c r="M78" t="s">
        <v>50</v>
      </c>
    </row>
    <row r="79" spans="2:29" hidden="1" x14ac:dyDescent="0.25"/>
    <row r="80" spans="2:29" hidden="1" x14ac:dyDescent="0.25"/>
    <row r="81" spans="3:10" hidden="1" x14ac:dyDescent="0.25"/>
    <row r="82" spans="3:10" hidden="1" x14ac:dyDescent="0.25">
      <c r="C82" s="101" t="s">
        <v>0</v>
      </c>
      <c r="D82" s="92"/>
      <c r="E82" s="92"/>
      <c r="F82" s="92"/>
      <c r="G82" s="92"/>
      <c r="H82" s="92"/>
      <c r="I82" s="93" t="s">
        <v>93</v>
      </c>
      <c r="J82" s="2"/>
    </row>
    <row r="83" spans="3:10" hidden="1" x14ac:dyDescent="0.25">
      <c r="I83" s="4"/>
      <c r="J83" s="1"/>
    </row>
    <row r="84" spans="3:10" hidden="1" x14ac:dyDescent="0.25">
      <c r="C84" s="5" t="s">
        <v>1</v>
      </c>
      <c r="D84" s="6" t="s">
        <v>2</v>
      </c>
      <c r="E84" s="7" t="s">
        <v>3</v>
      </c>
      <c r="F84" s="8" t="s">
        <v>4</v>
      </c>
      <c r="G84" s="7" t="s">
        <v>5</v>
      </c>
      <c r="H84" s="8" t="s">
        <v>6</v>
      </c>
      <c r="I84" s="9" t="s">
        <v>7</v>
      </c>
      <c r="J84" s="3"/>
    </row>
    <row r="85" spans="3:10" hidden="1" x14ac:dyDescent="0.25">
      <c r="C85" s="10"/>
      <c r="D85" s="11"/>
      <c r="E85" s="11"/>
      <c r="F85" s="12"/>
      <c r="G85" s="11"/>
      <c r="H85" s="12"/>
      <c r="I85" s="13"/>
      <c r="J85" s="3"/>
    </row>
    <row r="86" spans="3:10" hidden="1" x14ac:dyDescent="0.25">
      <c r="C86" s="14">
        <v>1</v>
      </c>
      <c r="D86" s="15">
        <v>1</v>
      </c>
      <c r="E86" s="16" t="s">
        <v>8</v>
      </c>
      <c r="F86" s="8" t="s">
        <v>9</v>
      </c>
      <c r="G86" s="17" t="s">
        <v>9</v>
      </c>
      <c r="H86" s="8" t="s">
        <v>9</v>
      </c>
      <c r="I86" s="9" t="s">
        <v>9</v>
      </c>
      <c r="J86" s="3"/>
    </row>
    <row r="87" spans="3:10" hidden="1" x14ac:dyDescent="0.25">
      <c r="C87" s="18"/>
      <c r="D87" s="19"/>
      <c r="E87" s="7"/>
      <c r="F87" s="8"/>
      <c r="G87" s="17"/>
      <c r="H87" s="8"/>
      <c r="I87" s="9"/>
      <c r="J87" s="3"/>
    </row>
    <row r="88" spans="3:10" hidden="1" x14ac:dyDescent="0.25">
      <c r="C88" s="14" t="s">
        <v>9</v>
      </c>
      <c r="D88" s="76">
        <v>1.1000000000000001</v>
      </c>
      <c r="E88" s="20" t="s">
        <v>10</v>
      </c>
      <c r="F88" s="7" t="s">
        <v>11</v>
      </c>
      <c r="G88" s="21">
        <v>100</v>
      </c>
      <c r="H88" s="22">
        <f>$H$69</f>
        <v>5700</v>
      </c>
      <c r="I88" s="9">
        <f>+H88*G88</f>
        <v>570000</v>
      </c>
      <c r="J88" s="3"/>
    </row>
    <row r="89" spans="3:10" hidden="1" x14ac:dyDescent="0.25">
      <c r="C89" s="6"/>
      <c r="D89" s="77">
        <v>1.2</v>
      </c>
      <c r="E89" s="24" t="s">
        <v>12</v>
      </c>
      <c r="F89" s="7" t="s">
        <v>13</v>
      </c>
      <c r="G89" s="25">
        <v>175</v>
      </c>
      <c r="H89" s="26">
        <f>$H$71</f>
        <v>3307</v>
      </c>
      <c r="I89" s="9">
        <f t="shared" ref="I89:I103" si="0">+H89*G89</f>
        <v>578725</v>
      </c>
      <c r="J89" s="3"/>
    </row>
    <row r="90" spans="3:10" hidden="1" x14ac:dyDescent="0.25">
      <c r="C90" s="7"/>
      <c r="D90" s="27">
        <v>1.3</v>
      </c>
      <c r="E90" s="7" t="s">
        <v>14</v>
      </c>
      <c r="F90" s="28" t="s">
        <v>13</v>
      </c>
      <c r="G90" s="21">
        <v>975</v>
      </c>
      <c r="H90" s="22">
        <f>$H$78</f>
        <v>1216</v>
      </c>
      <c r="I90" s="9">
        <f t="shared" si="0"/>
        <v>1185600</v>
      </c>
      <c r="J90" s="3"/>
    </row>
    <row r="91" spans="3:10" hidden="1" x14ac:dyDescent="0.25">
      <c r="C91" s="7"/>
      <c r="D91" s="27">
        <v>1.4</v>
      </c>
      <c r="E91" s="7" t="s">
        <v>15</v>
      </c>
      <c r="F91" s="8" t="s">
        <v>16</v>
      </c>
      <c r="G91" s="21">
        <v>16500</v>
      </c>
      <c r="H91" s="29">
        <f>$H$77</f>
        <v>14.7</v>
      </c>
      <c r="I91" s="9">
        <f t="shared" si="0"/>
        <v>242550</v>
      </c>
      <c r="J91" s="3"/>
    </row>
    <row r="92" spans="3:10" hidden="1" x14ac:dyDescent="0.25">
      <c r="C92" s="30"/>
      <c r="D92" s="77">
        <v>1.5</v>
      </c>
      <c r="E92" s="30" t="s">
        <v>17</v>
      </c>
      <c r="F92" s="7" t="s">
        <v>11</v>
      </c>
      <c r="G92" s="25">
        <v>2800</v>
      </c>
      <c r="H92" s="26">
        <f>$H$76</f>
        <v>592</v>
      </c>
      <c r="I92" s="9">
        <f t="shared" si="0"/>
        <v>1657600</v>
      </c>
      <c r="J92" s="3"/>
    </row>
    <row r="93" spans="3:10" hidden="1" x14ac:dyDescent="0.25">
      <c r="C93" s="7"/>
      <c r="D93" s="27">
        <v>1.6</v>
      </c>
      <c r="E93" s="7" t="s">
        <v>18</v>
      </c>
      <c r="F93" s="7" t="s">
        <v>11</v>
      </c>
      <c r="G93" s="21">
        <v>2800</v>
      </c>
      <c r="H93" s="22">
        <f>$H$74</f>
        <v>2432</v>
      </c>
      <c r="I93" s="9">
        <f t="shared" si="0"/>
        <v>6809600</v>
      </c>
      <c r="J93" s="3"/>
    </row>
    <row r="94" spans="3:10" hidden="1" x14ac:dyDescent="0.25">
      <c r="C94" s="30"/>
      <c r="D94" s="19">
        <v>1.7</v>
      </c>
      <c r="E94" s="7" t="s">
        <v>19</v>
      </c>
      <c r="F94" s="7" t="s">
        <v>11</v>
      </c>
      <c r="G94" s="21">
        <v>2800</v>
      </c>
      <c r="H94" s="22">
        <f>$H$75</f>
        <v>198</v>
      </c>
      <c r="I94" s="9">
        <f t="shared" si="0"/>
        <v>554400</v>
      </c>
      <c r="J94" s="3"/>
    </row>
    <row r="95" spans="3:10" hidden="1" x14ac:dyDescent="0.25">
      <c r="C95" s="14"/>
      <c r="D95" s="23">
        <v>1.8</v>
      </c>
      <c r="E95" s="7" t="s">
        <v>20</v>
      </c>
      <c r="F95" s="7" t="s">
        <v>11</v>
      </c>
      <c r="G95" s="21">
        <v>1500</v>
      </c>
      <c r="H95" s="29">
        <v>0</v>
      </c>
      <c r="I95" s="9">
        <f t="shared" si="0"/>
        <v>0</v>
      </c>
      <c r="J95" s="3"/>
    </row>
    <row r="96" spans="3:10" hidden="1" x14ac:dyDescent="0.25">
      <c r="C96" s="18"/>
      <c r="D96" s="19"/>
      <c r="E96" s="30"/>
      <c r="F96" s="31"/>
      <c r="G96" s="25"/>
      <c r="H96" s="26"/>
      <c r="I96" s="9" t="s">
        <v>9</v>
      </c>
      <c r="J96" s="3"/>
    </row>
    <row r="97" spans="3:10" hidden="1" x14ac:dyDescent="0.25">
      <c r="C97" s="14">
        <v>2</v>
      </c>
      <c r="D97" s="15">
        <v>2</v>
      </c>
      <c r="E97" s="16" t="s">
        <v>21</v>
      </c>
      <c r="F97" s="8"/>
      <c r="G97" s="21"/>
      <c r="H97" s="22"/>
      <c r="I97" s="9" t="s">
        <v>9</v>
      </c>
      <c r="J97" s="1"/>
    </row>
    <row r="98" spans="3:10" hidden="1" x14ac:dyDescent="0.25">
      <c r="C98" s="18"/>
      <c r="D98" s="19"/>
      <c r="E98" s="30"/>
      <c r="F98" s="31"/>
      <c r="G98" s="25"/>
      <c r="H98" s="26"/>
      <c r="I98" s="9" t="s">
        <v>9</v>
      </c>
      <c r="J98" s="3"/>
    </row>
    <row r="99" spans="3:10" hidden="1" x14ac:dyDescent="0.25">
      <c r="C99" s="14" t="s">
        <v>9</v>
      </c>
      <c r="D99" s="23">
        <v>2.1</v>
      </c>
      <c r="E99" s="7" t="s">
        <v>22</v>
      </c>
      <c r="F99" s="7" t="s">
        <v>11</v>
      </c>
      <c r="G99" s="21">
        <v>600</v>
      </c>
      <c r="H99" s="22"/>
      <c r="I99" s="9">
        <f t="shared" si="0"/>
        <v>0</v>
      </c>
      <c r="J99" s="3"/>
    </row>
    <row r="100" spans="3:10" hidden="1" x14ac:dyDescent="0.25">
      <c r="C100" s="18" t="s">
        <v>9</v>
      </c>
      <c r="D100" s="78">
        <v>2.2000000000000002</v>
      </c>
      <c r="E100" s="7" t="s">
        <v>23</v>
      </c>
      <c r="F100" s="7" t="s">
        <v>11</v>
      </c>
      <c r="G100" s="21">
        <v>150</v>
      </c>
      <c r="H100" s="22">
        <f>$H$70</f>
        <v>570</v>
      </c>
      <c r="I100" s="9">
        <f t="shared" si="0"/>
        <v>85500</v>
      </c>
      <c r="J100" s="3"/>
    </row>
    <row r="101" spans="3:10" hidden="1" x14ac:dyDescent="0.25">
      <c r="C101" s="18"/>
      <c r="D101" s="78">
        <v>2.2999999999999998</v>
      </c>
      <c r="E101" s="7" t="s">
        <v>24</v>
      </c>
      <c r="F101" s="7" t="s">
        <v>11</v>
      </c>
      <c r="G101" s="21">
        <v>1350</v>
      </c>
      <c r="H101" s="22">
        <f>$H$68</f>
        <v>668</v>
      </c>
      <c r="I101" s="9">
        <f t="shared" si="0"/>
        <v>901800</v>
      </c>
      <c r="J101" s="3"/>
    </row>
    <row r="102" spans="3:10" hidden="1" x14ac:dyDescent="0.25">
      <c r="C102" s="18" t="s">
        <v>9</v>
      </c>
      <c r="D102" s="19"/>
      <c r="E102" s="7"/>
      <c r="F102" s="8"/>
      <c r="G102" s="21"/>
      <c r="H102" s="22"/>
      <c r="I102" s="9" t="s">
        <v>9</v>
      </c>
      <c r="J102" s="3"/>
    </row>
    <row r="103" spans="3:10" hidden="1" x14ac:dyDescent="0.25">
      <c r="C103" s="14">
        <v>3</v>
      </c>
      <c r="D103" s="15">
        <v>3</v>
      </c>
      <c r="E103" s="32" t="s">
        <v>25</v>
      </c>
      <c r="F103" s="31" t="s">
        <v>26</v>
      </c>
      <c r="G103" s="25">
        <v>175</v>
      </c>
      <c r="H103" s="26">
        <v>2500</v>
      </c>
      <c r="I103" s="9">
        <f t="shared" si="0"/>
        <v>437500</v>
      </c>
      <c r="J103" s="3"/>
    </row>
    <row r="104" spans="3:10" hidden="1" x14ac:dyDescent="0.25">
      <c r="C104" s="18"/>
      <c r="D104" s="19"/>
      <c r="E104" s="7"/>
      <c r="F104" s="8"/>
      <c r="G104" s="17"/>
      <c r="H104" s="8"/>
      <c r="I104" s="9" t="s">
        <v>9</v>
      </c>
      <c r="J104" s="3"/>
    </row>
    <row r="105" spans="3:10" hidden="1" x14ac:dyDescent="0.25">
      <c r="C105" s="33"/>
      <c r="D105" s="34"/>
      <c r="E105" s="35" t="s">
        <v>27</v>
      </c>
      <c r="F105" s="36"/>
      <c r="G105" s="37"/>
      <c r="H105" s="36"/>
      <c r="I105" s="38">
        <f>SUM(I86:I104)</f>
        <v>13023275</v>
      </c>
      <c r="J105" s="3"/>
    </row>
    <row r="106" spans="3:10" hidden="1" x14ac:dyDescent="0.25">
      <c r="C106" s="18" t="s">
        <v>9</v>
      </c>
      <c r="D106" s="19" t="s">
        <v>9</v>
      </c>
      <c r="E106" s="16" t="s">
        <v>9</v>
      </c>
      <c r="F106" s="8" t="s">
        <v>9</v>
      </c>
      <c r="G106" s="17" t="s">
        <v>9</v>
      </c>
      <c r="H106" s="39" t="s">
        <v>9</v>
      </c>
      <c r="I106" s="9" t="s">
        <v>9</v>
      </c>
      <c r="J106" s="3"/>
    </row>
    <row r="107" spans="3:10" hidden="1" x14ac:dyDescent="0.25">
      <c r="C107" s="40">
        <v>4</v>
      </c>
      <c r="D107" s="41">
        <v>4</v>
      </c>
      <c r="E107" s="42" t="s">
        <v>28</v>
      </c>
      <c r="F107" s="43" t="s">
        <v>29</v>
      </c>
      <c r="G107" s="44">
        <f>+I105</f>
        <v>13023275</v>
      </c>
      <c r="H107" s="45">
        <v>4</v>
      </c>
      <c r="I107" s="9">
        <f>+G107*H107/100</f>
        <v>520931</v>
      </c>
      <c r="J107" s="3"/>
    </row>
    <row r="108" spans="3:10" hidden="1" x14ac:dyDescent="0.25">
      <c r="C108" s="18"/>
      <c r="D108" s="19"/>
      <c r="E108" s="16"/>
      <c r="F108" s="8"/>
      <c r="G108" s="17"/>
      <c r="H108" s="46"/>
      <c r="I108" s="9"/>
      <c r="J108" s="3"/>
    </row>
    <row r="109" spans="3:10" hidden="1" x14ac:dyDescent="0.25">
      <c r="C109" s="18">
        <v>5</v>
      </c>
      <c r="D109" s="19">
        <v>5</v>
      </c>
      <c r="E109" s="20" t="s">
        <v>30</v>
      </c>
      <c r="F109" s="8" t="s">
        <v>29</v>
      </c>
      <c r="G109" s="17">
        <f>+I105</f>
        <v>13023275</v>
      </c>
      <c r="H109" s="46">
        <v>10</v>
      </c>
      <c r="I109" s="9">
        <f>+G109*H109/100</f>
        <v>1302327.5</v>
      </c>
      <c r="J109" s="3"/>
    </row>
    <row r="110" spans="3:10" hidden="1" x14ac:dyDescent="0.25">
      <c r="C110" s="18"/>
      <c r="D110" s="19"/>
      <c r="E110" s="16"/>
      <c r="F110" s="8"/>
      <c r="G110" s="17"/>
      <c r="H110" s="46" t="s">
        <v>9</v>
      </c>
      <c r="I110" s="9"/>
      <c r="J110" s="3"/>
    </row>
    <row r="111" spans="3:10" hidden="1" x14ac:dyDescent="0.25">
      <c r="C111" s="18">
        <v>6</v>
      </c>
      <c r="D111" s="19">
        <v>6</v>
      </c>
      <c r="E111" s="20" t="s">
        <v>31</v>
      </c>
      <c r="F111" s="8" t="s">
        <v>29</v>
      </c>
      <c r="G111" s="17">
        <f>+I105</f>
        <v>13023275</v>
      </c>
      <c r="H111" s="46">
        <v>5</v>
      </c>
      <c r="I111" s="9">
        <f>+G111*H111/100</f>
        <v>651163.75</v>
      </c>
      <c r="J111" s="3"/>
    </row>
    <row r="112" spans="3:10" hidden="1" x14ac:dyDescent="0.25">
      <c r="C112" s="40"/>
      <c r="D112" s="41"/>
      <c r="E112" s="47"/>
      <c r="F112" s="43"/>
      <c r="G112" s="44"/>
      <c r="H112" s="48" t="s">
        <v>9</v>
      </c>
      <c r="I112" s="9"/>
      <c r="J112" s="3"/>
    </row>
    <row r="113" spans="3:10" hidden="1" x14ac:dyDescent="0.25">
      <c r="C113" s="33" t="s">
        <v>9</v>
      </c>
      <c r="D113" s="34" t="s">
        <v>9</v>
      </c>
      <c r="E113" s="35" t="s">
        <v>32</v>
      </c>
      <c r="F113" s="36" t="s">
        <v>9</v>
      </c>
      <c r="G113" s="37" t="s">
        <v>9</v>
      </c>
      <c r="H113" s="36" t="s">
        <v>9</v>
      </c>
      <c r="I113" s="38">
        <f>SUM(I105:I111)</f>
        <v>15497697.25</v>
      </c>
      <c r="J113" s="3"/>
    </row>
    <row r="114" spans="3:10" hidden="1" x14ac:dyDescent="0.25">
      <c r="C114" s="14"/>
      <c r="D114" s="15"/>
      <c r="E114" s="32"/>
      <c r="F114" s="31"/>
      <c r="G114" s="49"/>
      <c r="H114" s="31"/>
      <c r="I114" s="50"/>
      <c r="J114" s="3"/>
    </row>
    <row r="115" spans="3:10" hidden="1" x14ac:dyDescent="0.25">
      <c r="C115" s="18">
        <v>7</v>
      </c>
      <c r="D115" s="19">
        <v>7</v>
      </c>
      <c r="E115" s="7" t="s">
        <v>33</v>
      </c>
      <c r="F115" s="8" t="s">
        <v>29</v>
      </c>
      <c r="G115" s="17">
        <f>+I113</f>
        <v>15497697.25</v>
      </c>
      <c r="H115" s="51">
        <v>5</v>
      </c>
      <c r="I115" s="9">
        <f>+G115*H115/100</f>
        <v>774884.86250000005</v>
      </c>
      <c r="J115" s="3"/>
    </row>
    <row r="116" spans="3:10" hidden="1" x14ac:dyDescent="0.25">
      <c r="C116" s="18"/>
      <c r="D116" s="19"/>
      <c r="E116" s="7"/>
      <c r="F116" s="8"/>
      <c r="G116" s="17"/>
      <c r="H116" s="8"/>
      <c r="I116" s="9"/>
      <c r="J116" s="3"/>
    </row>
    <row r="117" spans="3:10" hidden="1" x14ac:dyDescent="0.25">
      <c r="C117" s="52" t="s">
        <v>9</v>
      </c>
      <c r="D117" s="53" t="s">
        <v>9</v>
      </c>
      <c r="E117" s="54" t="s">
        <v>34</v>
      </c>
      <c r="F117" s="55" t="s">
        <v>9</v>
      </c>
      <c r="G117" s="56" t="s">
        <v>9</v>
      </c>
      <c r="H117" s="55" t="s">
        <v>9</v>
      </c>
      <c r="I117" s="57">
        <f>SUM(I113:I115)</f>
        <v>16272582.112500001</v>
      </c>
      <c r="J117" s="3"/>
    </row>
    <row r="118" spans="3:10" hidden="1" x14ac:dyDescent="0.25">
      <c r="C118" s="18"/>
      <c r="D118" s="19"/>
      <c r="E118" s="7"/>
      <c r="F118" s="8"/>
      <c r="G118" s="17"/>
      <c r="H118" s="8"/>
      <c r="I118" s="9" t="s">
        <v>9</v>
      </c>
      <c r="J118" s="3"/>
    </row>
    <row r="119" spans="3:10" hidden="1" x14ac:dyDescent="0.25">
      <c r="C119" s="14">
        <v>8</v>
      </c>
      <c r="D119" s="15">
        <v>8</v>
      </c>
      <c r="E119" s="58" t="s">
        <v>35</v>
      </c>
      <c r="F119" s="31" t="s">
        <v>29</v>
      </c>
      <c r="G119" s="49">
        <f>+I117</f>
        <v>16272582.112500001</v>
      </c>
      <c r="H119" s="59">
        <f>IF(SUM(H92:H95)&lt;=150,G130,IF(SUM(H92:H95)&lt;=500,G131,G132))</f>
        <v>30</v>
      </c>
      <c r="I119" s="60">
        <f>(+G119*H119/100)/((100-H119)/100)</f>
        <v>6973963.7625000002</v>
      </c>
      <c r="J119" s="3"/>
    </row>
    <row r="120" spans="3:10" hidden="1" x14ac:dyDescent="0.25">
      <c r="C120" s="18"/>
      <c r="D120" s="19"/>
      <c r="E120" s="20"/>
      <c r="F120" s="8"/>
      <c r="G120" s="17"/>
      <c r="H120" s="51"/>
      <c r="I120" s="9"/>
      <c r="J120" s="3"/>
    </row>
    <row r="121" spans="3:10" hidden="1" x14ac:dyDescent="0.25">
      <c r="C121" s="14">
        <v>9</v>
      </c>
      <c r="D121" s="15">
        <v>9</v>
      </c>
      <c r="E121" s="58" t="s">
        <v>36</v>
      </c>
      <c r="F121" s="31" t="s">
        <v>29</v>
      </c>
      <c r="G121" s="49">
        <f>+I117</f>
        <v>16272582.112500001</v>
      </c>
      <c r="H121" s="59"/>
      <c r="I121" s="61">
        <f>+G121*H121/100</f>
        <v>0</v>
      </c>
      <c r="J121" s="3"/>
    </row>
    <row r="122" spans="3:10" hidden="1" x14ac:dyDescent="0.25">
      <c r="C122" s="18"/>
      <c r="D122" s="19"/>
      <c r="E122" s="20"/>
      <c r="F122" s="8"/>
      <c r="G122" s="17"/>
      <c r="H122" s="8"/>
      <c r="I122" s="9"/>
      <c r="J122" s="3"/>
    </row>
    <row r="123" spans="3:10" hidden="1" x14ac:dyDescent="0.25">
      <c r="C123" s="10"/>
      <c r="D123" s="62"/>
      <c r="E123" s="7"/>
      <c r="F123" s="12"/>
      <c r="G123" s="7"/>
      <c r="H123" s="8"/>
      <c r="I123" s="9"/>
      <c r="J123" s="3"/>
    </row>
    <row r="124" spans="3:10" hidden="1" x14ac:dyDescent="0.25">
      <c r="C124" s="63"/>
      <c r="D124" s="64"/>
      <c r="E124" s="54" t="s">
        <v>37</v>
      </c>
      <c r="F124" s="65"/>
      <c r="G124" s="64"/>
      <c r="H124" s="65"/>
      <c r="I124" s="66">
        <f>+I117+I119+I121</f>
        <v>23246545.875</v>
      </c>
      <c r="J124" s="3"/>
    </row>
    <row r="125" spans="3:10" hidden="1" x14ac:dyDescent="0.25">
      <c r="C125" s="10"/>
      <c r="D125" s="11"/>
      <c r="E125" s="7"/>
      <c r="F125" s="12"/>
      <c r="G125" s="11"/>
      <c r="H125" s="12"/>
      <c r="I125" s="13"/>
      <c r="J125" s="3"/>
    </row>
    <row r="126" spans="3:10" hidden="1" x14ac:dyDescent="0.25">
      <c r="I126" s="4"/>
      <c r="J126" s="3"/>
    </row>
    <row r="127" spans="3:10" hidden="1" x14ac:dyDescent="0.25">
      <c r="C127" t="s">
        <v>38</v>
      </c>
      <c r="I127" s="4"/>
      <c r="J127" s="3"/>
    </row>
    <row r="128" spans="3:10" hidden="1" x14ac:dyDescent="0.25">
      <c r="C128" t="s">
        <v>9</v>
      </c>
      <c r="I128" s="4"/>
      <c r="J128" s="3"/>
    </row>
    <row r="129" spans="3:15" hidden="1" x14ac:dyDescent="0.25">
      <c r="C129" t="s">
        <v>9</v>
      </c>
      <c r="E129" s="11" t="s">
        <v>39</v>
      </c>
      <c r="F129" s="10" t="s">
        <v>40</v>
      </c>
      <c r="G129" s="67"/>
      <c r="I129" s="4"/>
      <c r="J129" s="3"/>
    </row>
    <row r="130" spans="3:15" hidden="1" x14ac:dyDescent="0.25">
      <c r="E130" s="7" t="s">
        <v>41</v>
      </c>
      <c r="F130" s="68"/>
      <c r="G130" s="69">
        <v>40</v>
      </c>
      <c r="I130" s="4"/>
      <c r="J130" s="3"/>
    </row>
    <row r="131" spans="3:15" hidden="1" x14ac:dyDescent="0.25">
      <c r="E131" s="7" t="s">
        <v>42</v>
      </c>
      <c r="F131" s="10"/>
      <c r="G131" s="70">
        <v>35</v>
      </c>
      <c r="I131" s="4"/>
      <c r="J131" s="3"/>
    </row>
    <row r="132" spans="3:15" hidden="1" x14ac:dyDescent="0.25">
      <c r="E132" s="7" t="s">
        <v>43</v>
      </c>
      <c r="F132" s="71"/>
      <c r="G132" s="72">
        <v>30</v>
      </c>
      <c r="I132" s="4"/>
      <c r="J132" s="3"/>
    </row>
    <row r="133" spans="3:15" hidden="1" x14ac:dyDescent="0.25">
      <c r="I133" s="4"/>
      <c r="J133" s="3"/>
    </row>
    <row r="134" spans="3:15" hidden="1" x14ac:dyDescent="0.25">
      <c r="C134" t="s">
        <v>44</v>
      </c>
      <c r="I134" s="4"/>
      <c r="J134" s="3"/>
    </row>
    <row r="135" spans="3:15" hidden="1" x14ac:dyDescent="0.25">
      <c r="J135" s="3"/>
      <c r="O135" s="3"/>
    </row>
    <row r="136" spans="3:15" hidden="1" x14ac:dyDescent="0.25"/>
    <row r="137" spans="3:15" hidden="1" x14ac:dyDescent="0.25"/>
    <row r="138" spans="3:15" hidden="1" x14ac:dyDescent="0.25"/>
    <row r="139" spans="3:15" hidden="1" x14ac:dyDescent="0.25">
      <c r="C139" s="97" t="s">
        <v>0</v>
      </c>
      <c r="D139" s="75"/>
      <c r="E139" s="75"/>
      <c r="F139" s="75"/>
      <c r="G139" s="75"/>
      <c r="H139" s="75"/>
      <c r="I139" s="91" t="s">
        <v>94</v>
      </c>
    </row>
    <row r="140" spans="3:15" hidden="1" x14ac:dyDescent="0.25">
      <c r="I140" s="4"/>
    </row>
    <row r="141" spans="3:15" hidden="1" x14ac:dyDescent="0.25">
      <c r="C141" s="5" t="s">
        <v>1</v>
      </c>
      <c r="D141" s="6" t="s">
        <v>2</v>
      </c>
      <c r="E141" s="7" t="s">
        <v>3</v>
      </c>
      <c r="F141" s="8" t="s">
        <v>4</v>
      </c>
      <c r="G141" s="7" t="s">
        <v>5</v>
      </c>
      <c r="H141" s="8" t="s">
        <v>6</v>
      </c>
      <c r="I141" s="9" t="s">
        <v>7</v>
      </c>
    </row>
    <row r="142" spans="3:15" hidden="1" x14ac:dyDescent="0.25">
      <c r="C142" s="10"/>
      <c r="D142" s="11"/>
      <c r="E142" s="11"/>
      <c r="F142" s="12"/>
      <c r="G142" s="11"/>
      <c r="H142" s="12"/>
      <c r="I142" s="13"/>
    </row>
    <row r="143" spans="3:15" hidden="1" x14ac:dyDescent="0.25">
      <c r="C143" s="14">
        <v>1</v>
      </c>
      <c r="D143" s="15">
        <v>1</v>
      </c>
      <c r="E143" s="16" t="s">
        <v>8</v>
      </c>
      <c r="F143" s="8" t="s">
        <v>9</v>
      </c>
      <c r="G143" s="17" t="s">
        <v>9</v>
      </c>
      <c r="H143" s="8" t="s">
        <v>9</v>
      </c>
      <c r="I143" s="9" t="s">
        <v>9</v>
      </c>
    </row>
    <row r="144" spans="3:15" hidden="1" x14ac:dyDescent="0.25">
      <c r="C144" s="18"/>
      <c r="D144" s="19"/>
      <c r="E144" s="7"/>
      <c r="F144" s="8"/>
      <c r="G144" s="17"/>
      <c r="H144" s="8"/>
      <c r="I144" s="9"/>
    </row>
    <row r="145" spans="3:9" hidden="1" x14ac:dyDescent="0.25">
      <c r="C145" s="14" t="s">
        <v>9</v>
      </c>
      <c r="D145" s="76">
        <v>1.1000000000000001</v>
      </c>
      <c r="E145" s="20" t="s">
        <v>10</v>
      </c>
      <c r="F145" s="7" t="s">
        <v>11</v>
      </c>
      <c r="G145" s="21">
        <v>100</v>
      </c>
      <c r="H145" s="22">
        <f>$J$69</f>
        <v>6526</v>
      </c>
      <c r="I145" s="9">
        <f>+H145*G145</f>
        <v>652600</v>
      </c>
    </row>
    <row r="146" spans="3:9" hidden="1" x14ac:dyDescent="0.25">
      <c r="C146" s="6"/>
      <c r="D146" s="77">
        <v>1.2</v>
      </c>
      <c r="E146" s="24" t="s">
        <v>12</v>
      </c>
      <c r="F146" s="7" t="s">
        <v>13</v>
      </c>
      <c r="G146" s="25">
        <v>175</v>
      </c>
      <c r="H146" s="26">
        <f>$J$71</f>
        <v>2209</v>
      </c>
      <c r="I146" s="9">
        <f t="shared" ref="I146:I152" si="1">+H146*G146</f>
        <v>386575</v>
      </c>
    </row>
    <row r="147" spans="3:9" hidden="1" x14ac:dyDescent="0.25">
      <c r="C147" s="7"/>
      <c r="D147" s="27">
        <v>1.3</v>
      </c>
      <c r="E147" s="7" t="s">
        <v>14</v>
      </c>
      <c r="F147" s="28" t="s">
        <v>13</v>
      </c>
      <c r="G147" s="21">
        <v>975</v>
      </c>
      <c r="H147" s="22">
        <f>$J$78</f>
        <v>1280</v>
      </c>
      <c r="I147" s="9">
        <f t="shared" si="1"/>
        <v>1248000</v>
      </c>
    </row>
    <row r="148" spans="3:9" hidden="1" x14ac:dyDescent="0.25">
      <c r="C148" s="7"/>
      <c r="D148" s="27">
        <v>1.4</v>
      </c>
      <c r="E148" s="7" t="s">
        <v>15</v>
      </c>
      <c r="F148" s="8" t="s">
        <v>16</v>
      </c>
      <c r="G148" s="21">
        <v>16500</v>
      </c>
      <c r="H148" s="29">
        <f>$J$77</f>
        <v>12.799999999999999</v>
      </c>
      <c r="I148" s="9">
        <f t="shared" si="1"/>
        <v>211199.99999999997</v>
      </c>
    </row>
    <row r="149" spans="3:9" hidden="1" x14ac:dyDescent="0.25">
      <c r="C149" s="30"/>
      <c r="D149" s="77">
        <v>1.5</v>
      </c>
      <c r="E149" s="30" t="s">
        <v>17</v>
      </c>
      <c r="F149" s="7" t="s">
        <v>11</v>
      </c>
      <c r="G149" s="25">
        <v>2800</v>
      </c>
      <c r="H149" s="26">
        <f>$J$76</f>
        <v>395</v>
      </c>
      <c r="I149" s="9">
        <f t="shared" si="1"/>
        <v>1106000</v>
      </c>
    </row>
    <row r="150" spans="3:9" hidden="1" x14ac:dyDescent="0.25">
      <c r="C150" s="7"/>
      <c r="D150" s="27">
        <v>1.6</v>
      </c>
      <c r="E150" s="7" t="s">
        <v>18</v>
      </c>
      <c r="F150" s="7" t="s">
        <v>11</v>
      </c>
      <c r="G150" s="21">
        <v>2800</v>
      </c>
      <c r="H150" s="22">
        <f>$J$74</f>
        <v>1765</v>
      </c>
      <c r="I150" s="9">
        <f t="shared" si="1"/>
        <v>4942000</v>
      </c>
    </row>
    <row r="151" spans="3:9" hidden="1" x14ac:dyDescent="0.25">
      <c r="C151" s="30"/>
      <c r="D151" s="19">
        <v>1.7</v>
      </c>
      <c r="E151" s="7" t="s">
        <v>19</v>
      </c>
      <c r="F151" s="7" t="s">
        <v>11</v>
      </c>
      <c r="G151" s="21">
        <v>2800</v>
      </c>
      <c r="H151" s="22">
        <f>$J$75</f>
        <v>198</v>
      </c>
      <c r="I151" s="9">
        <f t="shared" si="1"/>
        <v>554400</v>
      </c>
    </row>
    <row r="152" spans="3:9" hidden="1" x14ac:dyDescent="0.25">
      <c r="C152" s="14"/>
      <c r="D152" s="23">
        <v>1.8</v>
      </c>
      <c r="E152" s="7" t="s">
        <v>20</v>
      </c>
      <c r="F152" s="7" t="s">
        <v>11</v>
      </c>
      <c r="G152" s="21">
        <v>1500</v>
      </c>
      <c r="H152" s="29">
        <v>0</v>
      </c>
      <c r="I152" s="9">
        <f t="shared" si="1"/>
        <v>0</v>
      </c>
    </row>
    <row r="153" spans="3:9" hidden="1" x14ac:dyDescent="0.25">
      <c r="C153" s="18"/>
      <c r="D153" s="19"/>
      <c r="E153" s="30"/>
      <c r="F153" s="31"/>
      <c r="G153" s="25"/>
      <c r="H153" s="26"/>
      <c r="I153" s="9" t="s">
        <v>9</v>
      </c>
    </row>
    <row r="154" spans="3:9" hidden="1" x14ac:dyDescent="0.25">
      <c r="C154" s="14">
        <v>2</v>
      </c>
      <c r="D154" s="15">
        <v>2</v>
      </c>
      <c r="E154" s="16" t="s">
        <v>21</v>
      </c>
      <c r="F154" s="8"/>
      <c r="G154" s="21"/>
      <c r="H154" s="22"/>
      <c r="I154" s="9" t="s">
        <v>9</v>
      </c>
    </row>
    <row r="155" spans="3:9" hidden="1" x14ac:dyDescent="0.25">
      <c r="C155" s="18"/>
      <c r="D155" s="19"/>
      <c r="E155" s="30"/>
      <c r="F155" s="31"/>
      <c r="G155" s="25"/>
      <c r="H155" s="26"/>
      <c r="I155" s="9" t="s">
        <v>9</v>
      </c>
    </row>
    <row r="156" spans="3:9" hidden="1" x14ac:dyDescent="0.25">
      <c r="C156" s="14" t="s">
        <v>9</v>
      </c>
      <c r="D156" s="23">
        <v>2.1</v>
      </c>
      <c r="E156" s="7" t="s">
        <v>22</v>
      </c>
      <c r="F156" s="7" t="s">
        <v>11</v>
      </c>
      <c r="G156" s="21">
        <v>600</v>
      </c>
      <c r="H156" s="22"/>
      <c r="I156" s="9">
        <f t="shared" ref="I156:I158" si="2">+H156*G156</f>
        <v>0</v>
      </c>
    </row>
    <row r="157" spans="3:9" hidden="1" x14ac:dyDescent="0.25">
      <c r="C157" s="18" t="s">
        <v>9</v>
      </c>
      <c r="D157" s="78">
        <v>2.2000000000000002</v>
      </c>
      <c r="E157" s="7" t="s">
        <v>23</v>
      </c>
      <c r="F157" s="7" t="s">
        <v>11</v>
      </c>
      <c r="G157" s="21">
        <v>150</v>
      </c>
      <c r="H157" s="22">
        <f>$J$70</f>
        <v>653</v>
      </c>
      <c r="I157" s="9">
        <f t="shared" si="2"/>
        <v>97950</v>
      </c>
    </row>
    <row r="158" spans="3:9" hidden="1" x14ac:dyDescent="0.25">
      <c r="C158" s="18"/>
      <c r="D158" s="78">
        <v>2.2999999999999998</v>
      </c>
      <c r="E158" s="7" t="s">
        <v>24</v>
      </c>
      <c r="F158" s="7" t="s">
        <v>11</v>
      </c>
      <c r="G158" s="21">
        <v>1350</v>
      </c>
      <c r="H158" s="22">
        <f>$J$68</f>
        <v>833</v>
      </c>
      <c r="I158" s="9">
        <f t="shared" si="2"/>
        <v>1124550</v>
      </c>
    </row>
    <row r="159" spans="3:9" hidden="1" x14ac:dyDescent="0.25">
      <c r="C159" s="18" t="s">
        <v>9</v>
      </c>
      <c r="D159" s="19"/>
      <c r="E159" s="7"/>
      <c r="F159" s="8"/>
      <c r="G159" s="21"/>
      <c r="H159" s="22"/>
      <c r="I159" s="9" t="s">
        <v>9</v>
      </c>
    </row>
    <row r="160" spans="3:9" hidden="1" x14ac:dyDescent="0.25">
      <c r="C160" s="14">
        <v>3</v>
      </c>
      <c r="D160" s="15">
        <v>3</v>
      </c>
      <c r="E160" s="32" t="s">
        <v>25</v>
      </c>
      <c r="F160" s="31" t="s">
        <v>26</v>
      </c>
      <c r="G160" s="25">
        <v>175</v>
      </c>
      <c r="H160" s="26">
        <v>2500</v>
      </c>
      <c r="I160" s="9">
        <f t="shared" ref="I160" si="3">+H160*G160</f>
        <v>437500</v>
      </c>
    </row>
    <row r="161" spans="3:9" hidden="1" x14ac:dyDescent="0.25">
      <c r="C161" s="18"/>
      <c r="D161" s="19"/>
      <c r="E161" s="7"/>
      <c r="F161" s="8"/>
      <c r="G161" s="17"/>
      <c r="H161" s="8"/>
      <c r="I161" s="9" t="s">
        <v>9</v>
      </c>
    </row>
    <row r="162" spans="3:9" hidden="1" x14ac:dyDescent="0.25">
      <c r="C162" s="33"/>
      <c r="D162" s="34"/>
      <c r="E162" s="35" t="s">
        <v>27</v>
      </c>
      <c r="F162" s="36"/>
      <c r="G162" s="37"/>
      <c r="H162" s="36"/>
      <c r="I162" s="38">
        <f>SUM(I143:I161)</f>
        <v>10760775</v>
      </c>
    </row>
    <row r="163" spans="3:9" hidden="1" x14ac:dyDescent="0.25">
      <c r="C163" s="18" t="s">
        <v>9</v>
      </c>
      <c r="D163" s="19" t="s">
        <v>9</v>
      </c>
      <c r="E163" s="16" t="s">
        <v>9</v>
      </c>
      <c r="F163" s="8" t="s">
        <v>9</v>
      </c>
      <c r="G163" s="17" t="s">
        <v>9</v>
      </c>
      <c r="H163" s="39" t="s">
        <v>9</v>
      </c>
      <c r="I163" s="9" t="s">
        <v>9</v>
      </c>
    </row>
    <row r="164" spans="3:9" hidden="1" x14ac:dyDescent="0.25">
      <c r="C164" s="40">
        <v>4</v>
      </c>
      <c r="D164" s="41">
        <v>4</v>
      </c>
      <c r="E164" s="42" t="s">
        <v>28</v>
      </c>
      <c r="F164" s="43" t="s">
        <v>29</v>
      </c>
      <c r="G164" s="44">
        <f>+I162</f>
        <v>10760775</v>
      </c>
      <c r="H164" s="45">
        <v>4</v>
      </c>
      <c r="I164" s="9">
        <f>+G164*H164/100</f>
        <v>430431</v>
      </c>
    </row>
    <row r="165" spans="3:9" hidden="1" x14ac:dyDescent="0.25">
      <c r="C165" s="18"/>
      <c r="D165" s="19"/>
      <c r="E165" s="16"/>
      <c r="F165" s="8"/>
      <c r="G165" s="17"/>
      <c r="H165" s="46"/>
      <c r="I165" s="9"/>
    </row>
    <row r="166" spans="3:9" hidden="1" x14ac:dyDescent="0.25">
      <c r="C166" s="18">
        <v>5</v>
      </c>
      <c r="D166" s="19">
        <v>5</v>
      </c>
      <c r="E166" s="20" t="s">
        <v>30</v>
      </c>
      <c r="F166" s="8" t="s">
        <v>29</v>
      </c>
      <c r="G166" s="17">
        <f>+I162</f>
        <v>10760775</v>
      </c>
      <c r="H166" s="46">
        <v>10</v>
      </c>
      <c r="I166" s="9">
        <f>+G166*H166/100</f>
        <v>1076077.5</v>
      </c>
    </row>
    <row r="167" spans="3:9" hidden="1" x14ac:dyDescent="0.25">
      <c r="C167" s="18"/>
      <c r="D167" s="19"/>
      <c r="E167" s="16"/>
      <c r="F167" s="8"/>
      <c r="G167" s="17"/>
      <c r="H167" s="46" t="s">
        <v>9</v>
      </c>
      <c r="I167" s="9"/>
    </row>
    <row r="168" spans="3:9" hidden="1" x14ac:dyDescent="0.25">
      <c r="C168" s="18">
        <v>6</v>
      </c>
      <c r="D168" s="19">
        <v>6</v>
      </c>
      <c r="E168" s="20" t="s">
        <v>31</v>
      </c>
      <c r="F168" s="8" t="s">
        <v>29</v>
      </c>
      <c r="G168" s="17">
        <f>+I162</f>
        <v>10760775</v>
      </c>
      <c r="H168" s="46">
        <v>5</v>
      </c>
      <c r="I168" s="9">
        <f>+G168*H168/100</f>
        <v>538038.75</v>
      </c>
    </row>
    <row r="169" spans="3:9" hidden="1" x14ac:dyDescent="0.25">
      <c r="C169" s="40"/>
      <c r="D169" s="41"/>
      <c r="E169" s="47"/>
      <c r="F169" s="43"/>
      <c r="G169" s="44"/>
      <c r="H169" s="48" t="s">
        <v>9</v>
      </c>
      <c r="I169" s="9"/>
    </row>
    <row r="170" spans="3:9" hidden="1" x14ac:dyDescent="0.25">
      <c r="C170" s="33" t="s">
        <v>9</v>
      </c>
      <c r="D170" s="34" t="s">
        <v>9</v>
      </c>
      <c r="E170" s="35" t="s">
        <v>32</v>
      </c>
      <c r="F170" s="36" t="s">
        <v>9</v>
      </c>
      <c r="G170" s="37" t="s">
        <v>9</v>
      </c>
      <c r="H170" s="36" t="s">
        <v>9</v>
      </c>
      <c r="I170" s="38">
        <f>SUM(I162:I168)</f>
        <v>12805322.25</v>
      </c>
    </row>
    <row r="171" spans="3:9" hidden="1" x14ac:dyDescent="0.25">
      <c r="C171" s="14"/>
      <c r="D171" s="15"/>
      <c r="E171" s="32"/>
      <c r="F171" s="31"/>
      <c r="G171" s="49"/>
      <c r="H171" s="31"/>
      <c r="I171" s="50"/>
    </row>
    <row r="172" spans="3:9" hidden="1" x14ac:dyDescent="0.25">
      <c r="C172" s="18">
        <v>7</v>
      </c>
      <c r="D172" s="19">
        <v>7</v>
      </c>
      <c r="E172" s="7" t="s">
        <v>33</v>
      </c>
      <c r="F172" s="8" t="s">
        <v>29</v>
      </c>
      <c r="G172" s="17">
        <f>+I170</f>
        <v>12805322.25</v>
      </c>
      <c r="H172" s="51">
        <v>5</v>
      </c>
      <c r="I172" s="9">
        <f>+G172*H172/100</f>
        <v>640266.11250000005</v>
      </c>
    </row>
    <row r="173" spans="3:9" hidden="1" x14ac:dyDescent="0.25">
      <c r="C173" s="18"/>
      <c r="D173" s="19"/>
      <c r="E173" s="7"/>
      <c r="F173" s="8"/>
      <c r="G173" s="17"/>
      <c r="H173" s="8"/>
      <c r="I173" s="9"/>
    </row>
    <row r="174" spans="3:9" hidden="1" x14ac:dyDescent="0.25">
      <c r="C174" s="52" t="s">
        <v>9</v>
      </c>
      <c r="D174" s="53" t="s">
        <v>9</v>
      </c>
      <c r="E174" s="54" t="s">
        <v>34</v>
      </c>
      <c r="F174" s="55" t="s">
        <v>9</v>
      </c>
      <c r="G174" s="56" t="s">
        <v>9</v>
      </c>
      <c r="H174" s="55" t="s">
        <v>9</v>
      </c>
      <c r="I174" s="57">
        <f>SUM(I170:I172)</f>
        <v>13445588.362500001</v>
      </c>
    </row>
    <row r="175" spans="3:9" hidden="1" x14ac:dyDescent="0.25">
      <c r="C175" s="18"/>
      <c r="D175" s="19"/>
      <c r="E175" s="7"/>
      <c r="F175" s="8"/>
      <c r="G175" s="17"/>
      <c r="H175" s="8"/>
      <c r="I175" s="9" t="s">
        <v>9</v>
      </c>
    </row>
    <row r="176" spans="3:9" hidden="1" x14ac:dyDescent="0.25">
      <c r="C176" s="14">
        <v>8</v>
      </c>
      <c r="D176" s="15">
        <v>8</v>
      </c>
      <c r="E176" s="58" t="s">
        <v>35</v>
      </c>
      <c r="F176" s="31" t="s">
        <v>29</v>
      </c>
      <c r="G176" s="49">
        <f>+I174</f>
        <v>13445588.362500001</v>
      </c>
      <c r="H176" s="59">
        <f>IF(SUM(H149:H152)&lt;=150,G187,IF(SUM(H149:H152)&lt;=500,G188,G189))</f>
        <v>30</v>
      </c>
      <c r="I176" s="60">
        <f>(+G176*H176/100)/((100-H176)/100)</f>
        <v>5762395.0125000002</v>
      </c>
    </row>
    <row r="177" spans="3:9" hidden="1" x14ac:dyDescent="0.25">
      <c r="C177" s="18"/>
      <c r="D177" s="19"/>
      <c r="E177" s="20"/>
      <c r="F177" s="8"/>
      <c r="G177" s="17"/>
      <c r="H177" s="51"/>
      <c r="I177" s="9"/>
    </row>
    <row r="178" spans="3:9" hidden="1" x14ac:dyDescent="0.25">
      <c r="C178" s="14">
        <v>9</v>
      </c>
      <c r="D178" s="15">
        <v>9</v>
      </c>
      <c r="E178" s="58" t="s">
        <v>36</v>
      </c>
      <c r="F178" s="31" t="s">
        <v>29</v>
      </c>
      <c r="G178" s="49">
        <f>+I174</f>
        <v>13445588.362500001</v>
      </c>
      <c r="H178" s="59"/>
      <c r="I178" s="61">
        <f>+G178*H178/100</f>
        <v>0</v>
      </c>
    </row>
    <row r="179" spans="3:9" hidden="1" x14ac:dyDescent="0.25">
      <c r="C179" s="18"/>
      <c r="D179" s="19"/>
      <c r="E179" s="20"/>
      <c r="F179" s="8"/>
      <c r="G179" s="17"/>
      <c r="H179" s="8"/>
      <c r="I179" s="9"/>
    </row>
    <row r="180" spans="3:9" hidden="1" x14ac:dyDescent="0.25">
      <c r="C180" s="10"/>
      <c r="D180" s="62"/>
      <c r="E180" s="7"/>
      <c r="F180" s="12"/>
      <c r="G180" s="7"/>
      <c r="H180" s="8"/>
      <c r="I180" s="9"/>
    </row>
    <row r="181" spans="3:9" hidden="1" x14ac:dyDescent="0.25">
      <c r="C181" s="63"/>
      <c r="D181" s="64"/>
      <c r="E181" s="54" t="s">
        <v>37</v>
      </c>
      <c r="F181" s="65"/>
      <c r="G181" s="64"/>
      <c r="H181" s="65"/>
      <c r="I181" s="66">
        <f>+I174+I176+I178</f>
        <v>19207983.375</v>
      </c>
    </row>
    <row r="182" spans="3:9" hidden="1" x14ac:dyDescent="0.25">
      <c r="C182" s="10"/>
      <c r="D182" s="11"/>
      <c r="E182" s="7"/>
      <c r="F182" s="12"/>
      <c r="G182" s="11"/>
      <c r="H182" s="12"/>
      <c r="I182" s="13"/>
    </row>
    <row r="183" spans="3:9" hidden="1" x14ac:dyDescent="0.25">
      <c r="I183" s="4"/>
    </row>
    <row r="184" spans="3:9" hidden="1" x14ac:dyDescent="0.25">
      <c r="C184" t="s">
        <v>38</v>
      </c>
      <c r="I184" s="4"/>
    </row>
    <row r="185" spans="3:9" hidden="1" x14ac:dyDescent="0.25">
      <c r="C185" t="s">
        <v>9</v>
      </c>
      <c r="I185" s="4"/>
    </row>
    <row r="186" spans="3:9" hidden="1" x14ac:dyDescent="0.25">
      <c r="C186" t="s">
        <v>9</v>
      </c>
      <c r="E186" s="11" t="s">
        <v>39</v>
      </c>
      <c r="F186" s="10" t="s">
        <v>40</v>
      </c>
      <c r="G186" s="67"/>
      <c r="I186" s="4"/>
    </row>
    <row r="187" spans="3:9" hidden="1" x14ac:dyDescent="0.25">
      <c r="E187" s="7" t="s">
        <v>41</v>
      </c>
      <c r="F187" s="68"/>
      <c r="G187" s="69">
        <v>40</v>
      </c>
      <c r="I187" s="4"/>
    </row>
    <row r="188" spans="3:9" hidden="1" x14ac:dyDescent="0.25">
      <c r="E188" s="7" t="s">
        <v>42</v>
      </c>
      <c r="F188" s="10"/>
      <c r="G188" s="70">
        <v>35</v>
      </c>
      <c r="I188" s="4"/>
    </row>
    <row r="189" spans="3:9" hidden="1" x14ac:dyDescent="0.25">
      <c r="E189" s="7" t="s">
        <v>43</v>
      </c>
      <c r="F189" s="71"/>
      <c r="G189" s="72">
        <v>30</v>
      </c>
      <c r="I189" s="4"/>
    </row>
    <row r="190" spans="3:9" hidden="1" x14ac:dyDescent="0.25">
      <c r="I190" s="4"/>
    </row>
    <row r="191" spans="3:9" hidden="1" x14ac:dyDescent="0.25">
      <c r="C191" t="s">
        <v>44</v>
      </c>
      <c r="I191" s="4"/>
    </row>
    <row r="192" spans="3:9" hidden="1" x14ac:dyDescent="0.25"/>
    <row r="193" spans="3:9" hidden="1" x14ac:dyDescent="0.25"/>
    <row r="194" spans="3:9" hidden="1" x14ac:dyDescent="0.25"/>
    <row r="195" spans="3:9" hidden="1" x14ac:dyDescent="0.25">
      <c r="C195" s="99" t="s">
        <v>0</v>
      </c>
      <c r="D195" s="98"/>
      <c r="E195" s="98"/>
      <c r="F195" s="98"/>
      <c r="G195" s="98"/>
      <c r="H195" s="98"/>
      <c r="I195" s="100" t="s">
        <v>95</v>
      </c>
    </row>
    <row r="196" spans="3:9" hidden="1" x14ac:dyDescent="0.25">
      <c r="I196" s="4"/>
    </row>
    <row r="197" spans="3:9" hidden="1" x14ac:dyDescent="0.25">
      <c r="C197" s="5" t="s">
        <v>1</v>
      </c>
      <c r="D197" s="6" t="s">
        <v>2</v>
      </c>
      <c r="E197" s="7" t="s">
        <v>3</v>
      </c>
      <c r="F197" s="8" t="s">
        <v>4</v>
      </c>
      <c r="G197" s="7" t="s">
        <v>5</v>
      </c>
      <c r="H197" s="8" t="s">
        <v>6</v>
      </c>
      <c r="I197" s="9" t="s">
        <v>7</v>
      </c>
    </row>
    <row r="198" spans="3:9" hidden="1" x14ac:dyDescent="0.25">
      <c r="C198" s="10"/>
      <c r="D198" s="11"/>
      <c r="E198" s="11"/>
      <c r="F198" s="12"/>
      <c r="G198" s="11"/>
      <c r="H198" s="12"/>
      <c r="I198" s="13"/>
    </row>
    <row r="199" spans="3:9" hidden="1" x14ac:dyDescent="0.25">
      <c r="C199" s="14">
        <v>1</v>
      </c>
      <c r="D199" s="15">
        <v>1</v>
      </c>
      <c r="E199" s="16" t="s">
        <v>8</v>
      </c>
      <c r="F199" s="8" t="s">
        <v>9</v>
      </c>
      <c r="G199" s="17" t="s">
        <v>9</v>
      </c>
      <c r="H199" s="8" t="s">
        <v>9</v>
      </c>
      <c r="I199" s="9" t="s">
        <v>9</v>
      </c>
    </row>
    <row r="200" spans="3:9" hidden="1" x14ac:dyDescent="0.25">
      <c r="C200" s="18"/>
      <c r="D200" s="19"/>
      <c r="E200" s="7"/>
      <c r="F200" s="8"/>
      <c r="G200" s="17"/>
      <c r="H200" s="8"/>
      <c r="I200" s="9"/>
    </row>
    <row r="201" spans="3:9" hidden="1" x14ac:dyDescent="0.25">
      <c r="C201" s="14" t="s">
        <v>9</v>
      </c>
      <c r="D201" s="76">
        <v>1.1000000000000001</v>
      </c>
      <c r="E201" s="20" t="s">
        <v>10</v>
      </c>
      <c r="F201" s="7" t="s">
        <v>11</v>
      </c>
      <c r="G201" s="21">
        <v>100</v>
      </c>
      <c r="H201" s="22">
        <f>$L$69</f>
        <v>6446</v>
      </c>
      <c r="I201" s="9">
        <f>+H201*G201</f>
        <v>644600</v>
      </c>
    </row>
    <row r="202" spans="3:9" hidden="1" x14ac:dyDescent="0.25">
      <c r="C202" s="6"/>
      <c r="D202" s="77">
        <v>1.2</v>
      </c>
      <c r="E202" s="24" t="s">
        <v>12</v>
      </c>
      <c r="F202" s="7" t="s">
        <v>13</v>
      </c>
      <c r="G202" s="25">
        <v>175</v>
      </c>
      <c r="H202" s="26">
        <f>$L$71</f>
        <v>2767</v>
      </c>
      <c r="I202" s="9">
        <f t="shared" ref="I202:I208" si="4">+H202*G202</f>
        <v>484225</v>
      </c>
    </row>
    <row r="203" spans="3:9" hidden="1" x14ac:dyDescent="0.25">
      <c r="C203" s="7"/>
      <c r="D203" s="27">
        <v>1.3</v>
      </c>
      <c r="E203" s="7" t="s">
        <v>14</v>
      </c>
      <c r="F203" s="28" t="s">
        <v>13</v>
      </c>
      <c r="G203" s="21">
        <v>975</v>
      </c>
      <c r="H203" s="22">
        <f>$L$78</f>
        <v>1293</v>
      </c>
      <c r="I203" s="9">
        <f t="shared" si="4"/>
        <v>1260675</v>
      </c>
    </row>
    <row r="204" spans="3:9" hidden="1" x14ac:dyDescent="0.25">
      <c r="C204" s="7"/>
      <c r="D204" s="27">
        <v>1.4</v>
      </c>
      <c r="E204" s="7" t="s">
        <v>15</v>
      </c>
      <c r="F204" s="8" t="s">
        <v>16</v>
      </c>
      <c r="G204" s="21">
        <v>16500</v>
      </c>
      <c r="H204" s="29">
        <f>$L$77</f>
        <v>13.8</v>
      </c>
      <c r="I204" s="9">
        <f t="shared" si="4"/>
        <v>227700</v>
      </c>
    </row>
    <row r="205" spans="3:9" hidden="1" x14ac:dyDescent="0.25">
      <c r="C205" s="30"/>
      <c r="D205" s="77">
        <v>1.5</v>
      </c>
      <c r="E205" s="30" t="s">
        <v>17</v>
      </c>
      <c r="F205" s="7" t="s">
        <v>11</v>
      </c>
      <c r="G205" s="25">
        <v>2800</v>
      </c>
      <c r="H205" s="26">
        <f>$L$76</f>
        <v>495</v>
      </c>
      <c r="I205" s="9">
        <f t="shared" si="4"/>
        <v>1386000</v>
      </c>
    </row>
    <row r="206" spans="3:9" hidden="1" x14ac:dyDescent="0.25">
      <c r="C206" s="7"/>
      <c r="D206" s="27">
        <v>1.6</v>
      </c>
      <c r="E206" s="7" t="s">
        <v>18</v>
      </c>
      <c r="F206" s="7" t="s">
        <v>11</v>
      </c>
      <c r="G206" s="21">
        <v>2800</v>
      </c>
      <c r="H206" s="22">
        <f>$L$74</f>
        <v>2129</v>
      </c>
      <c r="I206" s="9">
        <f t="shared" si="4"/>
        <v>5961200</v>
      </c>
    </row>
    <row r="207" spans="3:9" hidden="1" x14ac:dyDescent="0.25">
      <c r="C207" s="30"/>
      <c r="D207" s="19">
        <v>1.7</v>
      </c>
      <c r="E207" s="7" t="s">
        <v>19</v>
      </c>
      <c r="F207" s="7" t="s">
        <v>11</v>
      </c>
      <c r="G207" s="21">
        <v>2800</v>
      </c>
      <c r="H207" s="22">
        <f>$L$75</f>
        <v>198</v>
      </c>
      <c r="I207" s="9">
        <f t="shared" si="4"/>
        <v>554400</v>
      </c>
    </row>
    <row r="208" spans="3:9" hidden="1" x14ac:dyDescent="0.25">
      <c r="C208" s="14"/>
      <c r="D208" s="23">
        <v>1.8</v>
      </c>
      <c r="E208" s="7" t="s">
        <v>20</v>
      </c>
      <c r="F208" s="7" t="s">
        <v>11</v>
      </c>
      <c r="G208" s="21">
        <v>1500</v>
      </c>
      <c r="H208" s="29">
        <v>0</v>
      </c>
      <c r="I208" s="9">
        <f t="shared" si="4"/>
        <v>0</v>
      </c>
    </row>
    <row r="209" spans="3:9" hidden="1" x14ac:dyDescent="0.25">
      <c r="C209" s="18"/>
      <c r="D209" s="19"/>
      <c r="E209" s="30"/>
      <c r="F209" s="31"/>
      <c r="G209" s="25"/>
      <c r="H209" s="26"/>
      <c r="I209" s="9" t="s">
        <v>9</v>
      </c>
    </row>
    <row r="210" spans="3:9" hidden="1" x14ac:dyDescent="0.25">
      <c r="C210" s="14">
        <v>2</v>
      </c>
      <c r="D210" s="15">
        <v>2</v>
      </c>
      <c r="E210" s="16" t="s">
        <v>21</v>
      </c>
      <c r="F210" s="8"/>
      <c r="G210" s="21"/>
      <c r="H210" s="22"/>
      <c r="I210" s="9" t="s">
        <v>9</v>
      </c>
    </row>
    <row r="211" spans="3:9" hidden="1" x14ac:dyDescent="0.25">
      <c r="C211" s="18"/>
      <c r="D211" s="19"/>
      <c r="E211" s="30"/>
      <c r="F211" s="31"/>
      <c r="G211" s="25"/>
      <c r="H211" s="26"/>
      <c r="I211" s="9" t="s">
        <v>9</v>
      </c>
    </row>
    <row r="212" spans="3:9" hidden="1" x14ac:dyDescent="0.25">
      <c r="C212" s="14" t="s">
        <v>9</v>
      </c>
      <c r="D212" s="23">
        <v>2.1</v>
      </c>
      <c r="E212" s="7" t="s">
        <v>22</v>
      </c>
      <c r="F212" s="7" t="s">
        <v>11</v>
      </c>
      <c r="G212" s="21">
        <v>600</v>
      </c>
      <c r="H212" s="22"/>
      <c r="I212" s="9">
        <f t="shared" ref="I212:I214" si="5">+H212*G212</f>
        <v>0</v>
      </c>
    </row>
    <row r="213" spans="3:9" hidden="1" x14ac:dyDescent="0.25">
      <c r="C213" s="18" t="s">
        <v>9</v>
      </c>
      <c r="D213" s="78">
        <v>2.2000000000000002</v>
      </c>
      <c r="E213" s="7" t="s">
        <v>23</v>
      </c>
      <c r="F213" s="7" t="s">
        <v>11</v>
      </c>
      <c r="G213" s="21">
        <v>150</v>
      </c>
      <c r="H213" s="22">
        <f>$L$70</f>
        <v>645</v>
      </c>
      <c r="I213" s="9">
        <f t="shared" si="5"/>
        <v>96750</v>
      </c>
    </row>
    <row r="214" spans="3:9" hidden="1" x14ac:dyDescent="0.25">
      <c r="C214" s="18"/>
      <c r="D214" s="78">
        <v>2.2999999999999998</v>
      </c>
      <c r="E214" s="7" t="s">
        <v>24</v>
      </c>
      <c r="F214" s="7" t="s">
        <v>11</v>
      </c>
      <c r="G214" s="21">
        <v>1350</v>
      </c>
      <c r="H214" s="22">
        <f>$L$68</f>
        <v>799</v>
      </c>
      <c r="I214" s="9">
        <f t="shared" si="5"/>
        <v>1078650</v>
      </c>
    </row>
    <row r="215" spans="3:9" hidden="1" x14ac:dyDescent="0.25">
      <c r="C215" s="18" t="s">
        <v>9</v>
      </c>
      <c r="D215" s="19"/>
      <c r="E215" s="7"/>
      <c r="F215" s="8"/>
      <c r="G215" s="21"/>
      <c r="H215" s="22"/>
      <c r="I215" s="9" t="s">
        <v>9</v>
      </c>
    </row>
    <row r="216" spans="3:9" hidden="1" x14ac:dyDescent="0.25">
      <c r="C216" s="14">
        <v>3</v>
      </c>
      <c r="D216" s="15">
        <v>3</v>
      </c>
      <c r="E216" s="32" t="s">
        <v>25</v>
      </c>
      <c r="F216" s="31" t="s">
        <v>26</v>
      </c>
      <c r="G216" s="25">
        <v>175</v>
      </c>
      <c r="H216" s="26">
        <v>2500</v>
      </c>
      <c r="I216" s="9">
        <f t="shared" ref="I216" si="6">+H216*G216</f>
        <v>437500</v>
      </c>
    </row>
    <row r="217" spans="3:9" hidden="1" x14ac:dyDescent="0.25">
      <c r="C217" s="18"/>
      <c r="D217" s="19"/>
      <c r="E217" s="7"/>
      <c r="F217" s="8"/>
      <c r="G217" s="17"/>
      <c r="H217" s="8"/>
      <c r="I217" s="9" t="s">
        <v>9</v>
      </c>
    </row>
    <row r="218" spans="3:9" hidden="1" x14ac:dyDescent="0.25">
      <c r="C218" s="33"/>
      <c r="D218" s="34"/>
      <c r="E218" s="35" t="s">
        <v>27</v>
      </c>
      <c r="F218" s="36"/>
      <c r="G218" s="37"/>
      <c r="H218" s="36"/>
      <c r="I218" s="38">
        <f>SUM(I199:I217)</f>
        <v>12131700</v>
      </c>
    </row>
    <row r="219" spans="3:9" hidden="1" x14ac:dyDescent="0.25">
      <c r="C219" s="18" t="s">
        <v>9</v>
      </c>
      <c r="D219" s="19" t="s">
        <v>9</v>
      </c>
      <c r="E219" s="16" t="s">
        <v>9</v>
      </c>
      <c r="F219" s="8" t="s">
        <v>9</v>
      </c>
      <c r="G219" s="17" t="s">
        <v>9</v>
      </c>
      <c r="H219" s="39" t="s">
        <v>9</v>
      </c>
      <c r="I219" s="9" t="s">
        <v>9</v>
      </c>
    </row>
    <row r="220" spans="3:9" hidden="1" x14ac:dyDescent="0.25">
      <c r="C220" s="40">
        <v>4</v>
      </c>
      <c r="D220" s="41">
        <v>4</v>
      </c>
      <c r="E220" s="42" t="s">
        <v>28</v>
      </c>
      <c r="F220" s="43" t="s">
        <v>29</v>
      </c>
      <c r="G220" s="44">
        <f>+I218</f>
        <v>12131700</v>
      </c>
      <c r="H220" s="45">
        <v>4</v>
      </c>
      <c r="I220" s="9">
        <f>+G220*H220/100</f>
        <v>485268</v>
      </c>
    </row>
    <row r="221" spans="3:9" hidden="1" x14ac:dyDescent="0.25">
      <c r="C221" s="18"/>
      <c r="D221" s="19"/>
      <c r="E221" s="16"/>
      <c r="F221" s="8"/>
      <c r="G221" s="17"/>
      <c r="H221" s="46"/>
      <c r="I221" s="9"/>
    </row>
    <row r="222" spans="3:9" hidden="1" x14ac:dyDescent="0.25">
      <c r="C222" s="18">
        <v>5</v>
      </c>
      <c r="D222" s="19">
        <v>5</v>
      </c>
      <c r="E222" s="20" t="s">
        <v>30</v>
      </c>
      <c r="F222" s="8" t="s">
        <v>29</v>
      </c>
      <c r="G222" s="17">
        <f>+I218</f>
        <v>12131700</v>
      </c>
      <c r="H222" s="46">
        <v>10</v>
      </c>
      <c r="I222" s="9">
        <f>+G222*H222/100</f>
        <v>1213170</v>
      </c>
    </row>
    <row r="223" spans="3:9" hidden="1" x14ac:dyDescent="0.25">
      <c r="C223" s="18"/>
      <c r="D223" s="19"/>
      <c r="E223" s="16"/>
      <c r="F223" s="8"/>
      <c r="G223" s="17"/>
      <c r="H223" s="46" t="s">
        <v>9</v>
      </c>
      <c r="I223" s="9"/>
    </row>
    <row r="224" spans="3:9" hidden="1" x14ac:dyDescent="0.25">
      <c r="C224" s="18">
        <v>6</v>
      </c>
      <c r="D224" s="19">
        <v>6</v>
      </c>
      <c r="E224" s="20" t="s">
        <v>31</v>
      </c>
      <c r="F224" s="8" t="s">
        <v>29</v>
      </c>
      <c r="G224" s="17">
        <f>+I218</f>
        <v>12131700</v>
      </c>
      <c r="H224" s="46">
        <v>5</v>
      </c>
      <c r="I224" s="9">
        <f>+G224*H224/100</f>
        <v>606585</v>
      </c>
    </row>
    <row r="225" spans="3:9" hidden="1" x14ac:dyDescent="0.25">
      <c r="C225" s="40"/>
      <c r="D225" s="41"/>
      <c r="E225" s="47"/>
      <c r="F225" s="43"/>
      <c r="G225" s="44"/>
      <c r="H225" s="48" t="s">
        <v>9</v>
      </c>
      <c r="I225" s="9"/>
    </row>
    <row r="226" spans="3:9" hidden="1" x14ac:dyDescent="0.25">
      <c r="C226" s="33" t="s">
        <v>9</v>
      </c>
      <c r="D226" s="34" t="s">
        <v>9</v>
      </c>
      <c r="E226" s="35" t="s">
        <v>32</v>
      </c>
      <c r="F226" s="36" t="s">
        <v>9</v>
      </c>
      <c r="G226" s="37" t="s">
        <v>9</v>
      </c>
      <c r="H226" s="36" t="s">
        <v>9</v>
      </c>
      <c r="I226" s="38">
        <f>SUM(I218:I224)</f>
        <v>14436723</v>
      </c>
    </row>
    <row r="227" spans="3:9" hidden="1" x14ac:dyDescent="0.25">
      <c r="C227" s="14"/>
      <c r="D227" s="15"/>
      <c r="E227" s="32"/>
      <c r="F227" s="31"/>
      <c r="G227" s="49"/>
      <c r="H227" s="31"/>
      <c r="I227" s="50"/>
    </row>
    <row r="228" spans="3:9" hidden="1" x14ac:dyDescent="0.25">
      <c r="C228" s="18">
        <v>7</v>
      </c>
      <c r="D228" s="19">
        <v>7</v>
      </c>
      <c r="E228" s="7" t="s">
        <v>33</v>
      </c>
      <c r="F228" s="8" t="s">
        <v>29</v>
      </c>
      <c r="G228" s="17">
        <f>+I226</f>
        <v>14436723</v>
      </c>
      <c r="H228" s="51">
        <v>5</v>
      </c>
      <c r="I228" s="9">
        <f>+G228*H228/100</f>
        <v>721836.15</v>
      </c>
    </row>
    <row r="229" spans="3:9" hidden="1" x14ac:dyDescent="0.25">
      <c r="C229" s="18"/>
      <c r="D229" s="19"/>
      <c r="E229" s="7"/>
      <c r="F229" s="8"/>
      <c r="G229" s="17"/>
      <c r="H229" s="8"/>
      <c r="I229" s="9"/>
    </row>
    <row r="230" spans="3:9" hidden="1" x14ac:dyDescent="0.25">
      <c r="C230" s="52" t="s">
        <v>9</v>
      </c>
      <c r="D230" s="53" t="s">
        <v>9</v>
      </c>
      <c r="E230" s="54" t="s">
        <v>34</v>
      </c>
      <c r="F230" s="55" t="s">
        <v>9</v>
      </c>
      <c r="G230" s="56" t="s">
        <v>9</v>
      </c>
      <c r="H230" s="55" t="s">
        <v>9</v>
      </c>
      <c r="I230" s="57">
        <f>SUM(I226:I228)</f>
        <v>15158559.15</v>
      </c>
    </row>
    <row r="231" spans="3:9" hidden="1" x14ac:dyDescent="0.25">
      <c r="C231" s="18"/>
      <c r="D231" s="19"/>
      <c r="E231" s="7"/>
      <c r="F231" s="8"/>
      <c r="G231" s="17"/>
      <c r="H231" s="8"/>
      <c r="I231" s="9" t="s">
        <v>9</v>
      </c>
    </row>
    <row r="232" spans="3:9" hidden="1" x14ac:dyDescent="0.25">
      <c r="C232" s="14">
        <v>8</v>
      </c>
      <c r="D232" s="15">
        <v>8</v>
      </c>
      <c r="E232" s="58" t="s">
        <v>35</v>
      </c>
      <c r="F232" s="31" t="s">
        <v>29</v>
      </c>
      <c r="G232" s="49">
        <f>+I230</f>
        <v>15158559.15</v>
      </c>
      <c r="H232" s="59">
        <f>IF(SUM(H205:H208)&lt;=150,G243,IF(SUM(H205:H208)&lt;=500,G244,G245))</f>
        <v>30</v>
      </c>
      <c r="I232" s="60">
        <f>(+G232*H232/100)/((100-H232)/100)</f>
        <v>6496525.3500000006</v>
      </c>
    </row>
    <row r="233" spans="3:9" hidden="1" x14ac:dyDescent="0.25">
      <c r="C233" s="18"/>
      <c r="D233" s="19"/>
      <c r="E233" s="20"/>
      <c r="F233" s="8"/>
      <c r="G233" s="17"/>
      <c r="H233" s="51"/>
      <c r="I233" s="9"/>
    </row>
    <row r="234" spans="3:9" hidden="1" x14ac:dyDescent="0.25">
      <c r="C234" s="14">
        <v>9</v>
      </c>
      <c r="D234" s="15">
        <v>9</v>
      </c>
      <c r="E234" s="58" t="s">
        <v>36</v>
      </c>
      <c r="F234" s="31" t="s">
        <v>29</v>
      </c>
      <c r="G234" s="49">
        <f>+I230</f>
        <v>15158559.15</v>
      </c>
      <c r="H234" s="59"/>
      <c r="I234" s="61">
        <f>+G234*H234/100</f>
        <v>0</v>
      </c>
    </row>
    <row r="235" spans="3:9" hidden="1" x14ac:dyDescent="0.25">
      <c r="C235" s="18"/>
      <c r="D235" s="19"/>
      <c r="E235" s="20"/>
      <c r="F235" s="8"/>
      <c r="G235" s="17"/>
      <c r="H235" s="8"/>
      <c r="I235" s="9"/>
    </row>
    <row r="236" spans="3:9" hidden="1" x14ac:dyDescent="0.25">
      <c r="C236" s="10"/>
      <c r="D236" s="62"/>
      <c r="E236" s="7"/>
      <c r="F236" s="12"/>
      <c r="G236" s="7"/>
      <c r="H236" s="8"/>
      <c r="I236" s="9"/>
    </row>
    <row r="237" spans="3:9" hidden="1" x14ac:dyDescent="0.25">
      <c r="C237" s="63"/>
      <c r="D237" s="64"/>
      <c r="E237" s="54" t="s">
        <v>37</v>
      </c>
      <c r="F237" s="65"/>
      <c r="G237" s="64"/>
      <c r="H237" s="65"/>
      <c r="I237" s="66">
        <f>+I230+I232+I234</f>
        <v>21655084.5</v>
      </c>
    </row>
    <row r="238" spans="3:9" hidden="1" x14ac:dyDescent="0.25">
      <c r="C238" s="10"/>
      <c r="D238" s="11"/>
      <c r="E238" s="7"/>
      <c r="F238" s="12"/>
      <c r="G238" s="11"/>
      <c r="H238" s="12"/>
      <c r="I238" s="13"/>
    </row>
    <row r="239" spans="3:9" hidden="1" x14ac:dyDescent="0.25">
      <c r="I239" s="4"/>
    </row>
    <row r="240" spans="3:9" hidden="1" x14ac:dyDescent="0.25">
      <c r="C240" t="s">
        <v>38</v>
      </c>
      <c r="I240" s="4"/>
    </row>
    <row r="241" spans="3:9" hidden="1" x14ac:dyDescent="0.25">
      <c r="C241" t="s">
        <v>9</v>
      </c>
      <c r="I241" s="4"/>
    </row>
    <row r="242" spans="3:9" hidden="1" x14ac:dyDescent="0.25">
      <c r="C242" t="s">
        <v>9</v>
      </c>
      <c r="E242" s="11" t="s">
        <v>39</v>
      </c>
      <c r="F242" s="10" t="s">
        <v>40</v>
      </c>
      <c r="G242" s="67"/>
      <c r="I242" s="4"/>
    </row>
    <row r="243" spans="3:9" hidden="1" x14ac:dyDescent="0.25">
      <c r="E243" s="7" t="s">
        <v>41</v>
      </c>
      <c r="F243" s="68"/>
      <c r="G243" s="69">
        <v>40</v>
      </c>
      <c r="I243" s="4"/>
    </row>
    <row r="244" spans="3:9" hidden="1" x14ac:dyDescent="0.25">
      <c r="E244" s="7" t="s">
        <v>42</v>
      </c>
      <c r="F244" s="10"/>
      <c r="G244" s="70">
        <v>35</v>
      </c>
      <c r="I244" s="4"/>
    </row>
    <row r="245" spans="3:9" hidden="1" x14ac:dyDescent="0.25">
      <c r="E245" s="7" t="s">
        <v>43</v>
      </c>
      <c r="F245" s="71"/>
      <c r="G245" s="72">
        <v>30</v>
      </c>
      <c r="I245" s="4"/>
    </row>
    <row r="246" spans="3:9" hidden="1" x14ac:dyDescent="0.25">
      <c r="I246" s="4"/>
    </row>
    <row r="247" spans="3:9" hidden="1" x14ac:dyDescent="0.25">
      <c r="C247" t="s">
        <v>44</v>
      </c>
      <c r="I247" s="4"/>
    </row>
    <row r="248" spans="3:9" hidden="1" x14ac:dyDescent="0.25"/>
    <row r="249" spans="3:9" hidden="1" x14ac:dyDescent="0.25"/>
  </sheetData>
  <sheetProtection password="D96D" sheet="1" objects="1" scenarios="1" selectLockedCells="1"/>
  <mergeCells count="1">
    <mergeCell ref="C3:E3"/>
  </mergeCells>
  <conditionalFormatting sqref="H13">
    <cfRule type="cellIs" dxfId="2" priority="3" operator="equal">
      <formula>"Check Input"</formula>
    </cfRule>
  </conditionalFormatting>
  <conditionalFormatting sqref="J13">
    <cfRule type="cellIs" dxfId="1" priority="2" operator="equal">
      <formula>"Check Input"</formula>
    </cfRule>
  </conditionalFormatting>
  <conditionalFormatting sqref="L13">
    <cfRule type="cellIs" dxfId="0" priority="1" operator="equal">
      <formula>"Check Input"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5"/>
  <sheetViews>
    <sheetView topLeftCell="A4" zoomScale="85" zoomScaleNormal="85" workbookViewId="0">
      <selection activeCell="P16" sqref="P16"/>
    </sheetView>
  </sheetViews>
  <sheetFormatPr defaultRowHeight="15" x14ac:dyDescent="0.25"/>
  <cols>
    <col min="1" max="1" width="12" style="82" bestFit="1" customWidth="1"/>
    <col min="2" max="2" width="11.7109375" style="82" bestFit="1" customWidth="1"/>
  </cols>
  <sheetData>
    <row r="1" spans="1:20" x14ac:dyDescent="0.25">
      <c r="A1" s="80" t="s">
        <v>91</v>
      </c>
      <c r="B1" s="80" t="s">
        <v>92</v>
      </c>
    </row>
    <row r="2" spans="1:20" x14ac:dyDescent="0.25">
      <c r="A2" s="81">
        <v>0</v>
      </c>
      <c r="B2" s="81">
        <v>811.65</v>
      </c>
    </row>
    <row r="3" spans="1:20" x14ac:dyDescent="0.25">
      <c r="A3" s="81">
        <v>30.64</v>
      </c>
      <c r="B3" s="81">
        <v>813.97</v>
      </c>
    </row>
    <row r="4" spans="1:20" x14ac:dyDescent="0.25">
      <c r="A4" s="81">
        <v>61.28</v>
      </c>
      <c r="B4" s="81">
        <v>813.23</v>
      </c>
    </row>
    <row r="5" spans="1:20" x14ac:dyDescent="0.25">
      <c r="A5" s="81">
        <v>91.92</v>
      </c>
      <c r="B5" s="81">
        <v>810.4</v>
      </c>
    </row>
    <row r="6" spans="1:20" x14ac:dyDescent="0.25">
      <c r="A6" s="81">
        <v>113.84</v>
      </c>
      <c r="B6" s="81">
        <v>809.09</v>
      </c>
    </row>
    <row r="7" spans="1:20" x14ac:dyDescent="0.25">
      <c r="A7" s="81">
        <v>122.56</v>
      </c>
      <c r="B7" s="81">
        <v>808.56</v>
      </c>
    </row>
    <row r="8" spans="1:20" x14ac:dyDescent="0.25">
      <c r="A8" s="81">
        <v>153.19999999999999</v>
      </c>
      <c r="B8" s="81">
        <v>807.42</v>
      </c>
    </row>
    <row r="9" spans="1:20" x14ac:dyDescent="0.25">
      <c r="A9" s="81">
        <v>183.84</v>
      </c>
      <c r="B9" s="81">
        <v>805.71</v>
      </c>
    </row>
    <row r="10" spans="1:20" x14ac:dyDescent="0.25">
      <c r="A10" s="81">
        <v>214.47</v>
      </c>
      <c r="B10" s="81">
        <v>803</v>
      </c>
    </row>
    <row r="11" spans="1:20" x14ac:dyDescent="0.25">
      <c r="A11" s="81">
        <v>245.11</v>
      </c>
      <c r="B11" s="81">
        <v>803</v>
      </c>
    </row>
    <row r="12" spans="1:20" x14ac:dyDescent="0.25">
      <c r="A12" s="81">
        <v>275.75</v>
      </c>
      <c r="B12" s="81">
        <v>803</v>
      </c>
    </row>
    <row r="13" spans="1:20" x14ac:dyDescent="0.25">
      <c r="A13" s="81">
        <v>306.39</v>
      </c>
      <c r="B13" s="81">
        <v>803</v>
      </c>
    </row>
    <row r="14" spans="1:20" x14ac:dyDescent="0.25">
      <c r="A14" s="81">
        <v>337.03</v>
      </c>
      <c r="B14" s="81">
        <v>803</v>
      </c>
      <c r="S14" s="92">
        <v>459.5</v>
      </c>
      <c r="T14" s="92"/>
    </row>
    <row r="15" spans="1:20" x14ac:dyDescent="0.25">
      <c r="A15" s="81">
        <v>367.67</v>
      </c>
      <c r="B15" s="81">
        <v>803</v>
      </c>
      <c r="S15" s="92">
        <v>214.5</v>
      </c>
      <c r="T15" s="92"/>
    </row>
    <row r="16" spans="1:20" x14ac:dyDescent="0.25">
      <c r="A16" s="81">
        <v>376.3</v>
      </c>
      <c r="B16" s="81">
        <v>803</v>
      </c>
      <c r="S16" s="92">
        <f>S14-S15</f>
        <v>245</v>
      </c>
      <c r="T16" s="92">
        <v>803</v>
      </c>
    </row>
    <row r="17" spans="1:20" x14ac:dyDescent="0.25">
      <c r="A17" s="81">
        <v>398.31</v>
      </c>
      <c r="B17" s="81">
        <v>803</v>
      </c>
      <c r="S17" s="92"/>
      <c r="T17" s="92"/>
    </row>
    <row r="18" spans="1:20" x14ac:dyDescent="0.25">
      <c r="A18" s="81">
        <v>428.95</v>
      </c>
      <c r="B18" s="81">
        <v>803</v>
      </c>
      <c r="S18" s="92"/>
      <c r="T18" s="92"/>
    </row>
    <row r="19" spans="1:20" x14ac:dyDescent="0.25">
      <c r="A19" s="81">
        <v>459.59</v>
      </c>
      <c r="B19" s="81">
        <v>803.37</v>
      </c>
      <c r="S19" s="92"/>
      <c r="T19" s="92"/>
    </row>
    <row r="20" spans="1:20" x14ac:dyDescent="0.25">
      <c r="A20" s="81">
        <v>490.23</v>
      </c>
      <c r="B20" s="81">
        <v>811.66</v>
      </c>
      <c r="S20" s="92"/>
      <c r="T20" s="92"/>
    </row>
    <row r="21" spans="1:20" x14ac:dyDescent="0.25">
      <c r="A21" s="81">
        <v>520.87</v>
      </c>
      <c r="B21" s="81">
        <v>811.98</v>
      </c>
      <c r="S21" s="92">
        <v>153.19999999999999</v>
      </c>
      <c r="T21" s="92">
        <v>807.5</v>
      </c>
    </row>
    <row r="22" spans="1:20" x14ac:dyDescent="0.25">
      <c r="A22" s="81">
        <v>551.51</v>
      </c>
      <c r="B22" s="81">
        <v>813.16</v>
      </c>
      <c r="S22" s="92">
        <v>475</v>
      </c>
      <c r="T22" s="92"/>
    </row>
    <row r="23" spans="1:20" x14ac:dyDescent="0.25">
      <c r="A23" s="81">
        <v>582.15</v>
      </c>
      <c r="B23" s="81">
        <v>814.4</v>
      </c>
      <c r="S23" s="92">
        <f>S22-S21</f>
        <v>321.8</v>
      </c>
      <c r="T23" s="92"/>
    </row>
    <row r="24" spans="1:20" x14ac:dyDescent="0.25">
      <c r="A24" s="81">
        <v>612.78</v>
      </c>
      <c r="B24" s="81">
        <v>814.3</v>
      </c>
    </row>
    <row r="25" spans="1:20" x14ac:dyDescent="0.25">
      <c r="A25" s="81">
        <v>643.41999999999996</v>
      </c>
      <c r="B25" s="81">
        <v>813.31</v>
      </c>
    </row>
    <row r="26" spans="1:20" x14ac:dyDescent="0.25">
      <c r="A26" s="81">
        <v>674.06</v>
      </c>
      <c r="B26" s="81">
        <v>815.51</v>
      </c>
    </row>
    <row r="27" spans="1:20" x14ac:dyDescent="0.25">
      <c r="A27" s="81">
        <v>704.7</v>
      </c>
      <c r="B27" s="81">
        <v>818.2</v>
      </c>
    </row>
    <row r="28" spans="1:20" x14ac:dyDescent="0.25">
      <c r="A28" s="81">
        <v>735.34</v>
      </c>
      <c r="B28" s="81">
        <v>820.82</v>
      </c>
    </row>
    <row r="30" spans="1:20" x14ac:dyDescent="0.25">
      <c r="A30" s="81">
        <v>0</v>
      </c>
      <c r="B30" s="81">
        <v>812.72</v>
      </c>
      <c r="S30" s="75">
        <f>308-186</f>
        <v>122</v>
      </c>
      <c r="T30" s="75">
        <v>805</v>
      </c>
    </row>
    <row r="31" spans="1:20" x14ac:dyDescent="0.25">
      <c r="A31" s="81">
        <v>30.87</v>
      </c>
      <c r="B31" s="81">
        <v>811.95</v>
      </c>
      <c r="S31" s="75">
        <f>340-123</f>
        <v>217</v>
      </c>
      <c r="T31" s="75">
        <v>809</v>
      </c>
    </row>
    <row r="32" spans="1:20" x14ac:dyDescent="0.25">
      <c r="A32" s="81">
        <v>61.74</v>
      </c>
      <c r="B32" s="81">
        <v>811.28</v>
      </c>
    </row>
    <row r="33" spans="1:20" x14ac:dyDescent="0.25">
      <c r="A33" s="81">
        <v>92.6</v>
      </c>
      <c r="B33" s="81">
        <v>810.5</v>
      </c>
    </row>
    <row r="34" spans="1:20" x14ac:dyDescent="0.25">
      <c r="A34" s="81">
        <v>123.47</v>
      </c>
      <c r="B34" s="81">
        <v>809.32</v>
      </c>
    </row>
    <row r="35" spans="1:20" x14ac:dyDescent="0.25">
      <c r="A35" s="81">
        <v>127.63</v>
      </c>
      <c r="B35" s="81">
        <v>809.1</v>
      </c>
    </row>
    <row r="36" spans="1:20" x14ac:dyDescent="0.25">
      <c r="A36" s="81">
        <v>154.34</v>
      </c>
      <c r="B36" s="81">
        <v>807.65</v>
      </c>
    </row>
    <row r="37" spans="1:20" x14ac:dyDescent="0.25">
      <c r="A37" s="81">
        <v>185.21</v>
      </c>
      <c r="B37" s="81">
        <v>805.57</v>
      </c>
    </row>
    <row r="38" spans="1:20" x14ac:dyDescent="0.25">
      <c r="A38" s="81">
        <v>216.07</v>
      </c>
      <c r="B38" s="81">
        <v>805</v>
      </c>
      <c r="S38" s="98">
        <f>328-149</f>
        <v>179</v>
      </c>
      <c r="T38" s="98">
        <v>803</v>
      </c>
    </row>
    <row r="39" spans="1:20" x14ac:dyDescent="0.25">
      <c r="A39" s="81">
        <v>246.94</v>
      </c>
      <c r="B39" s="81">
        <v>805</v>
      </c>
      <c r="S39" s="98">
        <f>388-105</f>
        <v>283</v>
      </c>
      <c r="T39" s="98">
        <v>807.65</v>
      </c>
    </row>
    <row r="40" spans="1:20" x14ac:dyDescent="0.25">
      <c r="A40" s="81">
        <v>277.81</v>
      </c>
      <c r="B40" s="81">
        <v>805</v>
      </c>
    </row>
    <row r="41" spans="1:20" x14ac:dyDescent="0.25">
      <c r="A41" s="81">
        <v>308.68</v>
      </c>
      <c r="B41" s="81">
        <v>805.97</v>
      </c>
    </row>
    <row r="42" spans="1:20" x14ac:dyDescent="0.25">
      <c r="A42" s="81">
        <v>339.54</v>
      </c>
      <c r="B42" s="81">
        <v>809.38</v>
      </c>
    </row>
    <row r="43" spans="1:20" x14ac:dyDescent="0.25">
      <c r="A43" s="81">
        <v>370.41</v>
      </c>
      <c r="B43" s="81">
        <v>811</v>
      </c>
    </row>
    <row r="44" spans="1:20" x14ac:dyDescent="0.25">
      <c r="A44" s="81">
        <v>390.09</v>
      </c>
      <c r="B44" s="81">
        <v>811</v>
      </c>
    </row>
    <row r="45" spans="1:20" x14ac:dyDescent="0.25">
      <c r="A45" s="81">
        <v>401.28</v>
      </c>
      <c r="B45" s="81">
        <v>811</v>
      </c>
    </row>
    <row r="46" spans="1:20" x14ac:dyDescent="0.25">
      <c r="A46" s="81">
        <v>432.15</v>
      </c>
      <c r="B46" s="81">
        <v>810.59</v>
      </c>
    </row>
    <row r="47" spans="1:20" x14ac:dyDescent="0.25">
      <c r="A47" s="81">
        <v>463.01</v>
      </c>
      <c r="B47" s="81">
        <v>810.59</v>
      </c>
    </row>
    <row r="48" spans="1:20" x14ac:dyDescent="0.25">
      <c r="A48" s="81">
        <v>493.88</v>
      </c>
      <c r="B48" s="81">
        <v>811.83</v>
      </c>
    </row>
    <row r="49" spans="1:2" x14ac:dyDescent="0.25">
      <c r="A49" s="81">
        <v>524.75</v>
      </c>
      <c r="B49" s="81">
        <v>813.95</v>
      </c>
    </row>
    <row r="50" spans="1:2" x14ac:dyDescent="0.25">
      <c r="A50" s="81">
        <v>555.62</v>
      </c>
      <c r="B50" s="81">
        <v>815.57</v>
      </c>
    </row>
    <row r="51" spans="1:2" x14ac:dyDescent="0.25">
      <c r="A51" s="81">
        <v>586.48</v>
      </c>
      <c r="B51" s="81">
        <v>817.1</v>
      </c>
    </row>
    <row r="52" spans="1:2" x14ac:dyDescent="0.25">
      <c r="A52" s="81">
        <v>617.35</v>
      </c>
      <c r="B52" s="81">
        <v>819.54</v>
      </c>
    </row>
    <row r="53" spans="1:2" x14ac:dyDescent="0.25">
      <c r="A53" s="81">
        <v>648.22</v>
      </c>
      <c r="B53" s="81">
        <v>820.77</v>
      </c>
    </row>
    <row r="54" spans="1:2" x14ac:dyDescent="0.25">
      <c r="A54" s="81">
        <v>679.09</v>
      </c>
      <c r="B54" s="81">
        <v>821.32</v>
      </c>
    </row>
    <row r="55" spans="1:2" x14ac:dyDescent="0.25">
      <c r="A55" s="81">
        <v>709.95</v>
      </c>
      <c r="B55" s="81">
        <v>822.3</v>
      </c>
    </row>
    <row r="57" spans="1:2" x14ac:dyDescent="0.25">
      <c r="A57" s="81">
        <v>0</v>
      </c>
      <c r="B57" s="81">
        <v>810.09</v>
      </c>
    </row>
    <row r="58" spans="1:2" x14ac:dyDescent="0.25">
      <c r="A58" s="81">
        <v>29.82</v>
      </c>
      <c r="B58" s="81">
        <v>809.85</v>
      </c>
    </row>
    <row r="59" spans="1:2" x14ac:dyDescent="0.25">
      <c r="A59" s="81">
        <v>59.64</v>
      </c>
      <c r="B59" s="81">
        <v>809.86</v>
      </c>
    </row>
    <row r="60" spans="1:2" x14ac:dyDescent="0.25">
      <c r="A60" s="81">
        <v>89.45</v>
      </c>
      <c r="B60" s="81">
        <v>809.37</v>
      </c>
    </row>
    <row r="61" spans="1:2" x14ac:dyDescent="0.25">
      <c r="A61" s="81">
        <v>119.27</v>
      </c>
      <c r="B61" s="81">
        <v>805.74</v>
      </c>
    </row>
    <row r="62" spans="1:2" x14ac:dyDescent="0.25">
      <c r="A62" s="81">
        <v>139.03</v>
      </c>
      <c r="B62" s="81">
        <v>803.6</v>
      </c>
    </row>
    <row r="63" spans="1:2" x14ac:dyDescent="0.25">
      <c r="A63" s="81">
        <v>149.09</v>
      </c>
      <c r="B63" s="81">
        <v>802.51</v>
      </c>
    </row>
    <row r="64" spans="1:2" x14ac:dyDescent="0.25">
      <c r="A64" s="81">
        <v>178.91</v>
      </c>
      <c r="B64" s="81">
        <v>802.48</v>
      </c>
    </row>
    <row r="65" spans="1:2" x14ac:dyDescent="0.25">
      <c r="A65" s="81">
        <v>208.73</v>
      </c>
      <c r="B65" s="81">
        <v>802.86</v>
      </c>
    </row>
    <row r="66" spans="1:2" x14ac:dyDescent="0.25">
      <c r="A66" s="81">
        <v>238.55</v>
      </c>
      <c r="B66" s="81">
        <v>802.62</v>
      </c>
    </row>
    <row r="67" spans="1:2" x14ac:dyDescent="0.25">
      <c r="A67" s="81">
        <v>268.36</v>
      </c>
      <c r="B67" s="81">
        <v>803</v>
      </c>
    </row>
    <row r="68" spans="1:2" x14ac:dyDescent="0.25">
      <c r="A68" s="81">
        <v>298.18</v>
      </c>
      <c r="B68" s="81">
        <v>803</v>
      </c>
    </row>
    <row r="69" spans="1:2" x14ac:dyDescent="0.25">
      <c r="A69" s="81">
        <v>328</v>
      </c>
      <c r="B69" s="81">
        <v>803</v>
      </c>
    </row>
    <row r="70" spans="1:2" x14ac:dyDescent="0.25">
      <c r="A70" s="81">
        <v>357.82</v>
      </c>
      <c r="B70" s="81">
        <v>805.48</v>
      </c>
    </row>
    <row r="71" spans="1:2" x14ac:dyDescent="0.25">
      <c r="A71" s="81">
        <v>387.64</v>
      </c>
      <c r="B71" s="81">
        <v>807.65</v>
      </c>
    </row>
    <row r="72" spans="1:2" x14ac:dyDescent="0.25">
      <c r="A72" s="81">
        <v>417.46</v>
      </c>
      <c r="B72" s="81">
        <v>808.23</v>
      </c>
    </row>
    <row r="73" spans="1:2" x14ac:dyDescent="0.25">
      <c r="A73" s="81">
        <v>434.53</v>
      </c>
      <c r="B73" s="81">
        <v>808.57</v>
      </c>
    </row>
    <row r="74" spans="1:2" x14ac:dyDescent="0.25">
      <c r="A74" s="81">
        <v>447.27</v>
      </c>
      <c r="B74" s="81">
        <v>808.82</v>
      </c>
    </row>
    <row r="75" spans="1:2" x14ac:dyDescent="0.25">
      <c r="A75" s="81">
        <v>477.09</v>
      </c>
      <c r="B75" s="81">
        <v>809.03</v>
      </c>
    </row>
    <row r="76" spans="1:2" x14ac:dyDescent="0.25">
      <c r="A76" s="81">
        <v>506.91</v>
      </c>
      <c r="B76" s="81">
        <v>809.98</v>
      </c>
    </row>
    <row r="77" spans="1:2" x14ac:dyDescent="0.25">
      <c r="A77" s="81">
        <v>536.73</v>
      </c>
      <c r="B77" s="81">
        <v>811.56</v>
      </c>
    </row>
    <row r="78" spans="1:2" x14ac:dyDescent="0.25">
      <c r="A78" s="81">
        <v>566.54999999999995</v>
      </c>
      <c r="B78" s="81">
        <v>813.38</v>
      </c>
    </row>
    <row r="79" spans="1:2" x14ac:dyDescent="0.25">
      <c r="A79" s="81">
        <v>596.36</v>
      </c>
      <c r="B79" s="81">
        <v>815.55</v>
      </c>
    </row>
    <row r="80" spans="1:2" x14ac:dyDescent="0.25">
      <c r="A80" s="81">
        <v>626.17999999999995</v>
      </c>
      <c r="B80" s="81">
        <v>817.69</v>
      </c>
    </row>
    <row r="81" spans="1:2" x14ac:dyDescent="0.25">
      <c r="A81" s="81">
        <v>656</v>
      </c>
      <c r="B81" s="81">
        <v>819.83</v>
      </c>
    </row>
    <row r="82" spans="1:2" x14ac:dyDescent="0.25">
      <c r="A82" s="81">
        <v>685.82</v>
      </c>
      <c r="B82" s="81">
        <v>820.33</v>
      </c>
    </row>
    <row r="83" spans="1:2" x14ac:dyDescent="0.25">
      <c r="A83" s="81">
        <v>715.64</v>
      </c>
      <c r="B83" s="81">
        <v>819.91</v>
      </c>
    </row>
    <row r="84" spans="1:2" x14ac:dyDescent="0.25">
      <c r="A84" s="81">
        <v>745.46</v>
      </c>
      <c r="B84" s="81">
        <v>819.34</v>
      </c>
    </row>
    <row r="85" spans="1:2" x14ac:dyDescent="0.25">
      <c r="A85" s="81">
        <v>775.27</v>
      </c>
      <c r="B85" s="81">
        <v>819.52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Template</vt:lpstr>
      <vt:lpstr>ID XYZ</vt:lpstr>
      <vt:lpstr>ID XYZ Sections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</dc:creator>
  <cp:lastModifiedBy>SFHSERV</cp:lastModifiedBy>
  <dcterms:created xsi:type="dcterms:W3CDTF">2016-09-27T09:35:19Z</dcterms:created>
  <dcterms:modified xsi:type="dcterms:W3CDTF">2016-11-25T10:16:33Z</dcterms:modified>
</cp:coreProperties>
</file>